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33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J16" i="1" l="1"/>
  <c r="S16" i="1"/>
  <c r="K15" i="1"/>
  <c r="L15" i="1"/>
  <c r="N15" i="1"/>
  <c r="N18" i="1"/>
  <c r="M15" i="1"/>
  <c r="T14" i="1"/>
  <c r="S14" i="1"/>
  <c r="K14" i="1"/>
  <c r="J14" i="1"/>
  <c r="T12" i="1"/>
  <c r="K12" i="1"/>
  <c r="J12" i="1"/>
  <c r="S11" i="1"/>
  <c r="T11" i="1"/>
  <c r="J11" i="1"/>
  <c r="S10" i="1"/>
  <c r="K10" i="1"/>
  <c r="J10" i="1"/>
  <c r="S9" i="1"/>
  <c r="T9" i="1"/>
  <c r="K9" i="1"/>
  <c r="J9" i="1"/>
  <c r="S8" i="1"/>
  <c r="S7" i="1"/>
  <c r="K7" i="1"/>
  <c r="J7" i="1"/>
  <c r="T6" i="1"/>
  <c r="S6" i="1"/>
  <c r="T4" i="1"/>
  <c r="S4" i="1"/>
  <c r="T5" i="1"/>
  <c r="S5" i="1"/>
  <c r="S3" i="1"/>
  <c r="J5" i="1"/>
  <c r="J4" i="1"/>
  <c r="K4" i="1"/>
  <c r="K16" i="1"/>
  <c r="H4" i="1"/>
  <c r="S13" i="1"/>
  <c r="T10" i="1"/>
  <c r="H15" i="1"/>
  <c r="L10" i="1"/>
  <c r="H10" i="1"/>
  <c r="N4" i="1"/>
  <c r="L4" i="1"/>
  <c r="H3" i="1"/>
  <c r="H5" i="1"/>
  <c r="H6" i="1"/>
  <c r="H7" i="1"/>
  <c r="H8" i="1"/>
  <c r="H9" i="1"/>
  <c r="H11" i="1"/>
  <c r="H12" i="1"/>
  <c r="H13" i="1"/>
  <c r="H14" i="1"/>
  <c r="H16" i="1"/>
  <c r="H18" i="1"/>
  <c r="N5" i="1"/>
  <c r="N6" i="1"/>
  <c r="N7" i="1"/>
  <c r="N9" i="1"/>
  <c r="N11" i="1"/>
  <c r="N12" i="1"/>
  <c r="N13" i="1"/>
  <c r="N14" i="1"/>
  <c r="N16" i="1"/>
  <c r="K3" i="1"/>
  <c r="L3" i="1"/>
  <c r="K5" i="1"/>
  <c r="L5" i="1"/>
  <c r="L6" i="1"/>
  <c r="L7" i="1"/>
  <c r="K8" i="1"/>
  <c r="L8" i="1"/>
  <c r="L9" i="1"/>
  <c r="L11" i="1"/>
  <c r="L12" i="1"/>
  <c r="K13" i="1"/>
  <c r="L13" i="1"/>
  <c r="L14" i="1"/>
  <c r="L16" i="1"/>
  <c r="L18" i="1"/>
  <c r="N3" i="1"/>
</calcChain>
</file>

<file path=xl/comments1.xml><?xml version="1.0" encoding="utf-8"?>
<comments xmlns="http://schemas.openxmlformats.org/spreadsheetml/2006/main">
  <authors>
    <author>Toby Heaps</author>
    <author>Jason</author>
  </authors>
  <commentList>
    <comment ref="M3" authorId="0">
      <text>
        <r>
          <rPr>
            <b/>
            <sz val="9"/>
            <color indexed="81"/>
            <rFont val="Tahoma"/>
            <charset val="1"/>
          </rPr>
          <t>Toby Heaps:</t>
        </r>
        <r>
          <rPr>
            <sz val="9"/>
            <color indexed="81"/>
            <rFont val="Tahoma"/>
            <charset val="1"/>
          </rPr>
          <t xml:space="preserve">
List of June 30 2014 holdings no longer accessible.</t>
        </r>
      </text>
    </comment>
    <comment ref="M4" authorId="1">
      <text>
        <r>
          <rPr>
            <b/>
            <sz val="9"/>
            <color indexed="81"/>
            <rFont val="Tahoma"/>
            <family val="2"/>
          </rPr>
          <t xml:space="preserve">PDF provided by 350.org 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No green holdings. Cleaned Portfolio Re-invested with free float market cap weights across portfolio.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Jason:</t>
        </r>
        <r>
          <rPr>
            <sz val="9"/>
            <color indexed="81"/>
            <rFont val="Tahoma"/>
            <family val="2"/>
          </rPr>
          <t xml:space="preserve">
This is "net investment assets"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Reporting fair value of public markets holdings </t>
        </r>
      </text>
    </comment>
    <comment ref="P6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No green holdings. Cleaned Portfolio Re-invested with free float market cap weights across portfolio.</t>
        </r>
      </text>
    </comment>
    <comment ref="S6" authorId="1">
      <text>
        <r>
          <rPr>
            <b/>
            <sz val="9"/>
            <color indexed="81"/>
            <rFont val="Tahoma"/>
            <family val="2"/>
          </rPr>
          <t>Jason:</t>
        </r>
        <r>
          <rPr>
            <sz val="9"/>
            <color indexed="81"/>
            <rFont val="Tahoma"/>
            <family val="2"/>
          </rPr>
          <t xml:space="preserve">
Assume same % equity
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Based on disclosed major holdings as of Dec 31, 2014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Toby Heaps:</t>
        </r>
        <r>
          <rPr>
            <sz val="9"/>
            <color indexed="81"/>
            <rFont val="Tahoma"/>
            <charset val="1"/>
          </rPr>
          <t xml:space="preserve">
Value of holdings not disclosed by fund</t>
        </r>
      </text>
    </comment>
    <comment ref="S8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1896000000 (endowment)+2751000000(pension)+1158000000 (EFIP)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No green holdings. Cleaned Portfolio Re-invested with free float market cap weights across portfolio.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http://www.blackrock.com/uk/individual/literature/fact-sheet/blackrock-charitrak-fund-factsheet.pdf
http://www.taml.co.uk/archive-reports/fact-sheets
http://www.trustnet.com/Factsheets/Factsheet.aspx?fundCode=ITSMT&amp;univ=T
http://www.trustnet.com/Factsheets/Factsheet.aspx?fundCode=ITMNKS
http://www.legalandgeneral.com/investments/fund-information/fund-performance-table/
http://www.legalandgeneral.com/investments/fund-information/fund-performance-table/
http://www.legalandgeneral.com/investments/fund-information/fund-performance-table/
http://www.legalandgeneral.com/investments/fund-information/fund-performance-table/
http://www.legalandgeneral.com/investments/fund-information/fund-performance-table/
http://www.hl.co.uk/shares/shares-search-results/g/genesis-emerging-markets-fund-ptg-npv/company-information
http://www.trustnet.com/Factsheets/Factsheet.aspx?fundCode=INFE8
http://www.iii.co.uk/investing/factsheet/FPD5</t>
        </r>
      </text>
    </comment>
    <comment ref="N10" authorId="0">
      <text>
        <r>
          <rPr>
            <b/>
            <sz val="9"/>
            <color indexed="81"/>
            <rFont val="Tahoma"/>
            <charset val="1"/>
          </rPr>
          <t>Toby Heaps:</t>
        </r>
        <r>
          <rPr>
            <sz val="9"/>
            <color indexed="81"/>
            <rFont val="Tahoma"/>
            <charset val="1"/>
          </rPr>
          <t xml:space="preserve">
Value of holdings not disclosed by fund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Estimated mid point of equity target exposure ranges.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No green holdings. Cleaned Portfolio Re-invested with free float market cap weights across portfolio.</t>
        </r>
      </text>
    </comment>
    <comment ref="J15" authorId="1">
      <text>
        <r>
          <rPr>
            <b/>
            <sz val="9"/>
            <color indexed="81"/>
            <rFont val="Tahoma"/>
            <family val="2"/>
          </rPr>
          <t>Jason:</t>
        </r>
        <r>
          <rPr>
            <sz val="9"/>
            <color indexed="81"/>
            <rFont val="Tahoma"/>
            <family val="2"/>
          </rPr>
          <t xml:space="preserve">
From 2014 Annual Report
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Toby Heaps:</t>
        </r>
        <r>
          <rPr>
            <sz val="9"/>
            <color indexed="81"/>
            <rFont val="Tahoma"/>
            <family val="2"/>
          </rPr>
          <t xml:space="preserve">
Assume same 40% equity allocation as in 2015.</t>
        </r>
      </text>
    </comment>
  </commentList>
</comments>
</file>

<file path=xl/sharedStrings.xml><?xml version="1.0" encoding="utf-8"?>
<sst xmlns="http://schemas.openxmlformats.org/spreadsheetml/2006/main" count="171" uniqueCount="106">
  <si>
    <t xml:space="preserve">Fund Name </t>
  </si>
  <si>
    <t>Country</t>
  </si>
  <si>
    <t>Australia</t>
  </si>
  <si>
    <t>http://apps.treasury.act.gov.au/</t>
  </si>
  <si>
    <t>Australian Government Future Fund</t>
  </si>
  <si>
    <t>Date of Rate</t>
  </si>
  <si>
    <t>FX Rate to USD</t>
  </si>
  <si>
    <t>AUD</t>
  </si>
  <si>
    <t>CONFIRM</t>
  </si>
  <si>
    <t>CAD</t>
  </si>
  <si>
    <t>Currency</t>
  </si>
  <si>
    <t>Nov 11/2015</t>
  </si>
  <si>
    <t>Sep 30/2015</t>
  </si>
  <si>
    <t>Mar 31/2015</t>
  </si>
  <si>
    <t>Scope</t>
  </si>
  <si>
    <t>Dec 31/2014</t>
  </si>
  <si>
    <t>Equities valued over 1 million CAD available (133 listed; June 30/2015)</t>
  </si>
  <si>
    <t xml:space="preserve">Canadian equities over 500K </t>
  </si>
  <si>
    <t>USD</t>
  </si>
  <si>
    <t>Equities over 150 million USD</t>
  </si>
  <si>
    <t>Wellcome Trust</t>
  </si>
  <si>
    <t>Bill &amp; Melinda Gates Foundation Trust</t>
  </si>
  <si>
    <t>Equities listed on 2013 Annual Tax Return (Form 990-PF)</t>
  </si>
  <si>
    <t>Dec 31/2013</t>
  </si>
  <si>
    <t>Canada</t>
  </si>
  <si>
    <t>UK</t>
  </si>
  <si>
    <t>US</t>
  </si>
  <si>
    <t>Equities as listed on US SEC Form 13F Information Table</t>
  </si>
  <si>
    <t>June 30/2014</t>
  </si>
  <si>
    <t>Top 40 Equities from the List of Largest Equity Holdings on 2014 Annual Report</t>
  </si>
  <si>
    <t>ND</t>
  </si>
  <si>
    <t>EUR</t>
  </si>
  <si>
    <t>Jun 30/2015</t>
  </si>
  <si>
    <t>Date of Subset</t>
  </si>
  <si>
    <t xml:space="preserve">Equities over 150 million CAD </t>
  </si>
  <si>
    <t>GBP</t>
  </si>
  <si>
    <r>
      <t xml:space="preserve">Australian Capital Territory Directly-Owned Shares </t>
    </r>
    <r>
      <rPr>
        <b/>
        <sz val="11"/>
        <color theme="1"/>
        <rFont val="Calibri"/>
        <family val="2"/>
        <scheme val="minor"/>
      </rPr>
      <t>(ACT)</t>
    </r>
  </si>
  <si>
    <r>
      <t xml:space="preserve">Canadian Pension Plan Fund </t>
    </r>
    <r>
      <rPr>
        <b/>
        <sz val="11"/>
        <color theme="1"/>
        <rFont val="Calibri"/>
        <family val="2"/>
        <scheme val="minor"/>
      </rPr>
      <t>(CPP Fund)</t>
    </r>
  </si>
  <si>
    <r>
      <t xml:space="preserve">Ontario Municipal Employees Retirement System </t>
    </r>
    <r>
      <rPr>
        <b/>
        <sz val="11"/>
        <color theme="1"/>
        <rFont val="Calibri"/>
        <family val="2"/>
        <scheme val="minor"/>
      </rPr>
      <t xml:space="preserve">(OMERS) </t>
    </r>
  </si>
  <si>
    <r>
      <t xml:space="preserve">Ontario Teachers' Pension Plan </t>
    </r>
    <r>
      <rPr>
        <b/>
        <sz val="11"/>
        <color theme="1"/>
        <rFont val="Calibri"/>
        <family val="2"/>
        <scheme val="minor"/>
      </rPr>
      <t>(OTPP</t>
    </r>
    <r>
      <rPr>
        <sz val="11"/>
        <color theme="1"/>
        <rFont val="Calibri"/>
        <family val="2"/>
        <scheme val="minor"/>
      </rPr>
      <t xml:space="preserve">) </t>
    </r>
  </si>
  <si>
    <r>
      <t xml:space="preserve">University of Toronto Asset Management Corporation </t>
    </r>
    <r>
      <rPr>
        <b/>
        <sz val="11"/>
        <color theme="1"/>
        <rFont val="Calibri"/>
        <family val="2"/>
        <scheme val="minor"/>
      </rPr>
      <t>(UTAM)</t>
    </r>
    <r>
      <rPr>
        <sz val="11"/>
        <color theme="1"/>
        <rFont val="Calibri"/>
        <family val="2"/>
        <scheme val="minor"/>
      </rPr>
      <t>: Long Term Capital Appreciation Pool, Pension Master Trust fund, and EFIP</t>
    </r>
  </si>
  <si>
    <r>
      <t xml:space="preserve">New York City Employees' Retirement System </t>
    </r>
    <r>
      <rPr>
        <b/>
        <sz val="11"/>
        <color theme="1"/>
        <rFont val="Calibri"/>
        <family val="2"/>
        <scheme val="minor"/>
      </rPr>
      <t xml:space="preserve">(NYCERS) </t>
    </r>
  </si>
  <si>
    <t xml:space="preserve">Harvard Management Company Incorporated: Harvard Endowment </t>
  </si>
  <si>
    <r>
      <t xml:space="preserve"> Algemeen Burgerlijk Pensioenfonds </t>
    </r>
    <r>
      <rPr>
        <b/>
        <sz val="11"/>
        <color theme="1"/>
        <rFont val="Calibri"/>
        <family val="2"/>
        <scheme val="minor"/>
      </rPr>
      <t>(ABP)</t>
    </r>
    <r>
      <rPr>
        <sz val="11"/>
        <color theme="1"/>
        <rFont val="Calibri"/>
        <family val="2"/>
        <scheme val="minor"/>
      </rPr>
      <t>: "Dutch Civil Servants Pension Fund")</t>
    </r>
  </si>
  <si>
    <t>TOTAL</t>
  </si>
  <si>
    <r>
      <t xml:space="preserve">Australian National University Endowment Fund </t>
    </r>
    <r>
      <rPr>
        <b/>
        <sz val="11"/>
        <color theme="1"/>
        <rFont val="Calibri"/>
        <family val="2"/>
        <scheme val="minor"/>
      </rPr>
      <t>(ANU Fund)</t>
    </r>
  </si>
  <si>
    <t>Nov 11/2016</t>
  </si>
  <si>
    <t>Top 36 Domestic Equities, from portfolio as of 5 May 2015</t>
  </si>
  <si>
    <t>London School of Economics</t>
  </si>
  <si>
    <t>July 31/2014</t>
  </si>
  <si>
    <t>All equities screened from the Quarterly Holdings Report, as of June 30/2015</t>
  </si>
  <si>
    <t>June 30/2015</t>
  </si>
  <si>
    <r>
      <rPr>
        <sz val="11"/>
        <color theme="1"/>
        <rFont val="Calibri"/>
        <family val="2"/>
        <scheme val="minor"/>
      </rPr>
      <t>Vermont Pension Investment Committee</t>
    </r>
    <r>
      <rPr>
        <b/>
        <sz val="11"/>
        <color theme="1"/>
        <rFont val="Calibri"/>
        <family val="2"/>
        <scheme val="minor"/>
      </rPr>
      <t xml:space="preserve"> (VPIC) </t>
    </r>
  </si>
  <si>
    <t>% Equities 2012</t>
  </si>
  <si>
    <t>McGill University Endowment</t>
  </si>
  <si>
    <t>Starting value notes</t>
  </si>
  <si>
    <t xml:space="preserve">Top 100 Listed Equities as of June 30, 2014 </t>
  </si>
  <si>
    <t>Analyzed Fund Subset AUM (millions) [hyperlink to source]</t>
  </si>
  <si>
    <t>Analyzed Fund Subset AUM in USD</t>
  </si>
  <si>
    <t>Not disclosed</t>
  </si>
  <si>
    <t>FX Rate USD</t>
  </si>
  <si>
    <t>Current Total Fund AUM in Equities (millions)</t>
  </si>
  <si>
    <t>Current Total Fund AUM in Equities (millions USD)</t>
  </si>
  <si>
    <t>Current Total Fund AUM (USD millions)</t>
  </si>
  <si>
    <t>Current Total Fund AUM (millions) [hyperlink to source]</t>
  </si>
  <si>
    <t>Date of Total for Current Value</t>
  </si>
  <si>
    <t>% Equities (most recent)</t>
  </si>
  <si>
    <t>2012 Total Equities USD (exchange rate=Sept 30, 2012)</t>
  </si>
  <si>
    <t>Sept 30/2012</t>
  </si>
  <si>
    <t>US$1,546,602,354</t>
  </si>
  <si>
    <t>May 5/2015</t>
  </si>
  <si>
    <t>Canadian Public Equity Holdings</t>
  </si>
  <si>
    <t>http://www.futurefund.gov.au/__data/assets/pdf_file/0009/5778/Annual_Report_2012-13.pdf  ($88,900,000,000 value of portfolio as of June 30, 2012)</t>
  </si>
  <si>
    <t>http://www.cppib.com/content/dam/cppib/common/en/PDF/CPPIB_2012_Annual_Report_-_English.pdf ($161,60,00,00,000 value of portfolio as of March 31, 2012)</t>
  </si>
  <si>
    <t>US$53,850,841</t>
  </si>
  <si>
    <t>US$7,025,528,323</t>
  </si>
  <si>
    <t>http://www.omers.com/pdf/OMERS_AR_2012_-_ENG_FULL.pdf ($88,100,000,000 value as of Dec 31, 2012)</t>
  </si>
  <si>
    <t>http://www.anu.edu.au/files/review/Investment-Flyer-2012.pdf ($1,130.6 million value 31 December, 2012)</t>
  </si>
  <si>
    <t>US$756,153,815</t>
  </si>
  <si>
    <t>Top 20 Public Equities in OMERS Capital Markets</t>
  </si>
  <si>
    <t>Already decarbonized</t>
  </si>
  <si>
    <t>US$419,418,629</t>
  </si>
  <si>
    <t>http://www.utam.utoronto.ca/Assets/UTAM+Digital+Assets/UTAM/UTAM+Digital+Assets/reports/2012+annual+report.pdf ($5,805,000,000 value as of Dec 31, 2012)</t>
  </si>
  <si>
    <t>https://www.mcgill.ca/investments/annual-reports/report-endowment-performance-2011-12-0 ($471,800,000 value as of June 30/2012)</t>
  </si>
  <si>
    <t>US$32,330,177</t>
  </si>
  <si>
    <t>Top ten holdings of 13 LSE funds</t>
  </si>
  <si>
    <t>http://www.lse.ac.uk/intranet/LSEServices/financeDivision/pdf/2012AnnualAccountsFINAL.pdf (83.2 million pounds as of July 31, 2012)</t>
  </si>
  <si>
    <t>US$3,062,919</t>
  </si>
  <si>
    <t>Sept 30/2014</t>
  </si>
  <si>
    <t>http://www.wellcome.ac.uk/stellent/groups/corporatesite/@msh_publishing_group/documents/web_document/wtp041256.pdf (6,494.6 million pounds as of Sept 30/2012)</t>
  </si>
  <si>
    <t>http://www.otpp.com/documents/10179/39482a3d-435c-40d1-96cf-cd6a38d6880a ($59,511,000,000 value as of Dec 31, 2012)</t>
  </si>
  <si>
    <t>US$352,680,885</t>
  </si>
  <si>
    <t>http://www.gatesfoundation.org/Who-We-Are/General-Information/Financials ($36,444,210,791 value as of Dec 31 2012)</t>
  </si>
  <si>
    <t>US$1,897,962,806</t>
  </si>
  <si>
    <t>http://www.hmc.harvard.edu/docs/Final_Annual_Report_2012.pdf ($30.7 billion value as of  June 30/2012)</t>
  </si>
  <si>
    <t>(US$206,290,976)</t>
  </si>
  <si>
    <t>July 31/2015</t>
  </si>
  <si>
    <t>https://www.opendatanyc.com/NYCERS-NYC-Employees-Retirement-System-/NYCERS-Pension-Fund-Quarterly-Report-2Q-2012/bma6-n26m ($41.6 billion value as of end of Q2 2012)</t>
  </si>
  <si>
    <t>US$1,618,154,962</t>
  </si>
  <si>
    <t>According to minutes from VPIC for September, 2012, the fund was worth $3.57 billion and had a 32.9% allocation in equities, which comes out to $1.17 billion in equities.</t>
  </si>
  <si>
    <t>Of the 3733 equities listed, the 678 equities of EUR 50M and higher were included, representing more than 75% of total fund value</t>
  </si>
  <si>
    <t>Cost of not decarbonizing 3 years ago in USD*</t>
  </si>
  <si>
    <t>US$79,387,949</t>
  </si>
  <si>
    <t>June 30 2015</t>
  </si>
  <si>
    <t>https://www.apg.nl/en/pdfs/annual-reportapg-2012.pdf (324 billion EURO value as of Dec 31/2012)</t>
  </si>
  <si>
    <t>US$9,366,211,873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</si>
</sst>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€-2]\ * #,##0.00_);_([$€-2]\ * \(#,##0.00\);_([$€-2]\ * &quot;-&quot;??_);_(@_)"/>
    <numFmt numFmtId="167" formatCode="_-[$£-809]* #,##0.00_-;\-[$£-809]* #,##0.00_-;_-[$£-809]* &quot;-&quot;??_-;_-@_-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2" applyFill="1" applyAlignment="1">
      <alignment horizontal="center" vertical="center" wrapText="1"/>
    </xf>
    <xf numFmtId="165" fontId="2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ont="1" applyFill="1" applyBorder="1"/>
    <xf numFmtId="16" fontId="0" fillId="2" borderId="2" xfId="0" applyNumberFormat="1" applyFill="1" applyBorder="1"/>
    <xf numFmtId="0" fontId="0" fillId="2" borderId="0" xfId="0" applyFill="1"/>
    <xf numFmtId="165" fontId="0" fillId="2" borderId="0" xfId="1" applyFont="1" applyFill="1"/>
    <xf numFmtId="0" fontId="0" fillId="2" borderId="7" xfId="0" applyFont="1" applyFill="1" applyBorder="1" applyAlignment="1">
      <alignment wrapText="1"/>
    </xf>
    <xf numFmtId="0" fontId="0" fillId="2" borderId="0" xfId="0" applyFill="1" applyBorder="1"/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/>
    <xf numFmtId="165" fontId="3" fillId="2" borderId="0" xfId="1" applyFont="1" applyFill="1" applyBorder="1"/>
    <xf numFmtId="165" fontId="0" fillId="2" borderId="0" xfId="1" applyFont="1" applyFill="1" applyBorder="1"/>
    <xf numFmtId="165" fontId="0" fillId="2" borderId="0" xfId="0" applyNumberFormat="1" applyFont="1" applyFill="1" applyBorder="1"/>
    <xf numFmtId="0" fontId="3" fillId="2" borderId="0" xfId="2" applyFill="1"/>
    <xf numFmtId="15" fontId="0" fillId="2" borderId="0" xfId="0" applyNumberFormat="1" applyFill="1"/>
    <xf numFmtId="0" fontId="0" fillId="2" borderId="5" xfId="0" applyFont="1" applyFill="1" applyBorder="1" applyAlignment="1">
      <alignment wrapText="1"/>
    </xf>
    <xf numFmtId="0" fontId="0" fillId="2" borderId="5" xfId="0" applyFill="1" applyBorder="1"/>
    <xf numFmtId="0" fontId="0" fillId="2" borderId="5" xfId="0" applyFont="1" applyFill="1" applyBorder="1"/>
    <xf numFmtId="165" fontId="0" fillId="2" borderId="5" xfId="1" applyFont="1" applyFill="1" applyBorder="1"/>
    <xf numFmtId="4" fontId="0" fillId="2" borderId="5" xfId="1" applyNumberFormat="1" applyFont="1" applyFill="1" applyBorder="1"/>
    <xf numFmtId="165" fontId="0" fillId="2" borderId="5" xfId="0" applyNumberFormat="1" applyFont="1" applyFill="1" applyBorder="1"/>
    <xf numFmtId="165" fontId="3" fillId="2" borderId="5" xfId="1" applyFont="1" applyFill="1" applyBorder="1"/>
    <xf numFmtId="0" fontId="0" fillId="2" borderId="12" xfId="0" applyFill="1" applyBorder="1" applyAlignment="1">
      <alignment wrapText="1"/>
    </xf>
    <xf numFmtId="0" fontId="0" fillId="2" borderId="7" xfId="0" applyFill="1" applyBorder="1"/>
    <xf numFmtId="0" fontId="0" fillId="2" borderId="0" xfId="0" applyFill="1" applyBorder="1" applyAlignment="1">
      <alignment wrapText="1"/>
    </xf>
    <xf numFmtId="165" fontId="3" fillId="2" borderId="0" xfId="2" applyNumberFormat="1" applyFill="1" applyBorder="1"/>
    <xf numFmtId="2" fontId="0" fillId="2" borderId="0" xfId="0" applyNumberFormat="1" applyFill="1" applyBorder="1"/>
    <xf numFmtId="164" fontId="3" fillId="2" borderId="0" xfId="2" applyNumberFormat="1" applyFill="1" applyBorder="1"/>
    <xf numFmtId="0" fontId="0" fillId="2" borderId="13" xfId="0" applyFill="1" applyBorder="1" applyAlignment="1">
      <alignment wrapText="1"/>
    </xf>
    <xf numFmtId="169" fontId="0" fillId="2" borderId="0" xfId="0" applyNumberFormat="1" applyFill="1"/>
    <xf numFmtId="165" fontId="0" fillId="2" borderId="2" xfId="1" applyFont="1" applyFill="1" applyBorder="1"/>
    <xf numFmtId="2" fontId="0" fillId="2" borderId="2" xfId="0" applyNumberFormat="1" applyFill="1" applyBorder="1"/>
    <xf numFmtId="167" fontId="0" fillId="2" borderId="2" xfId="1" applyNumberFormat="1" applyFont="1" applyFill="1" applyBorder="1"/>
    <xf numFmtId="165" fontId="0" fillId="2" borderId="2" xfId="0" applyNumberFormat="1" applyFont="1" applyFill="1" applyBorder="1"/>
    <xf numFmtId="165" fontId="3" fillId="2" borderId="2" xfId="1" applyFont="1" applyFill="1" applyBorder="1"/>
    <xf numFmtId="0" fontId="0" fillId="2" borderId="0" xfId="0" applyFill="1" applyAlignment="1">
      <alignment wrapText="1"/>
    </xf>
    <xf numFmtId="0" fontId="0" fillId="2" borderId="4" xfId="0" applyFill="1" applyBorder="1"/>
    <xf numFmtId="0" fontId="0" fillId="2" borderId="5" xfId="0" applyFill="1" applyBorder="1" applyAlignment="1">
      <alignment wrapText="1"/>
    </xf>
    <xf numFmtId="167" fontId="3" fillId="2" borderId="5" xfId="2" applyNumberFormat="1" applyFill="1" applyBorder="1"/>
    <xf numFmtId="2" fontId="0" fillId="2" borderId="5" xfId="0" applyNumberFormat="1" applyFill="1" applyBorder="1"/>
    <xf numFmtId="0" fontId="0" fillId="2" borderId="11" xfId="0" applyFill="1" applyBorder="1" applyAlignment="1">
      <alignment wrapText="1"/>
    </xf>
    <xf numFmtId="0" fontId="0" fillId="2" borderId="1" xfId="0" applyFill="1" applyBorder="1"/>
    <xf numFmtId="43" fontId="0" fillId="2" borderId="2" xfId="3" applyFont="1" applyFill="1" applyBorder="1"/>
    <xf numFmtId="164" fontId="0" fillId="2" borderId="2" xfId="0" applyNumberFormat="1" applyFill="1" applyBorder="1"/>
    <xf numFmtId="165" fontId="0" fillId="2" borderId="0" xfId="0" applyNumberFormat="1" applyFill="1" applyBorder="1"/>
    <xf numFmtId="0" fontId="2" fillId="2" borderId="5" xfId="0" applyFont="1" applyFill="1" applyBorder="1" applyAlignment="1">
      <alignment wrapText="1"/>
    </xf>
    <xf numFmtId="165" fontId="3" fillId="2" borderId="0" xfId="2" applyNumberFormat="1" applyFill="1"/>
    <xf numFmtId="165" fontId="0" fillId="2" borderId="0" xfId="0" applyNumberFormat="1" applyFill="1"/>
    <xf numFmtId="0" fontId="0" fillId="2" borderId="4" xfId="0" applyFill="1" applyBorder="1" applyAlignment="1">
      <alignment wrapText="1"/>
    </xf>
    <xf numFmtId="0" fontId="0" fillId="2" borderId="9" xfId="0" applyFill="1" applyBorder="1"/>
    <xf numFmtId="0" fontId="0" fillId="2" borderId="9" xfId="0" applyFill="1" applyBorder="1" applyAlignment="1">
      <alignment wrapText="1"/>
    </xf>
    <xf numFmtId="166" fontId="3" fillId="2" borderId="9" xfId="2" applyNumberFormat="1" applyFill="1" applyBorder="1"/>
    <xf numFmtId="165" fontId="0" fillId="2" borderId="9" xfId="1" applyFont="1" applyFill="1" applyBorder="1"/>
    <xf numFmtId="2" fontId="0" fillId="2" borderId="9" xfId="0" applyNumberFormat="1" applyFill="1" applyBorder="1"/>
    <xf numFmtId="166" fontId="0" fillId="2" borderId="9" xfId="0" applyNumberFormat="1" applyFill="1" applyBorder="1"/>
    <xf numFmtId="165" fontId="0" fillId="2" borderId="9" xfId="0" applyNumberFormat="1" applyFont="1" applyFill="1" applyBorder="1"/>
    <xf numFmtId="0" fontId="2" fillId="2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  <xf numFmtId="16" fontId="9" fillId="3" borderId="2" xfId="0" applyNumberFormat="1" applyFont="1" applyFill="1" applyBorder="1"/>
    <xf numFmtId="165" fontId="10" fillId="3" borderId="0" xfId="1" applyFont="1" applyFill="1" applyBorder="1"/>
    <xf numFmtId="165" fontId="10" fillId="3" borderId="5" xfId="2" applyNumberFormat="1" applyFont="1" applyFill="1" applyBorder="1"/>
    <xf numFmtId="165" fontId="10" fillId="3" borderId="0" xfId="2" applyNumberFormat="1" applyFont="1" applyFill="1" applyBorder="1"/>
    <xf numFmtId="167" fontId="10" fillId="3" borderId="2" xfId="2" applyNumberFormat="1" applyFont="1" applyFill="1" applyBorder="1"/>
    <xf numFmtId="167" fontId="10" fillId="3" borderId="5" xfId="2" applyNumberFormat="1" applyFont="1" applyFill="1" applyBorder="1"/>
    <xf numFmtId="165" fontId="10" fillId="3" borderId="2" xfId="1" applyFont="1" applyFill="1" applyBorder="1"/>
    <xf numFmtId="165" fontId="10" fillId="3" borderId="0" xfId="2" applyNumberFormat="1" applyFont="1" applyFill="1"/>
    <xf numFmtId="166" fontId="10" fillId="3" borderId="9" xfId="2" applyNumberFormat="1" applyFont="1" applyFill="1" applyBorder="1"/>
    <xf numFmtId="0" fontId="9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0" fillId="3" borderId="3" xfId="0" applyFill="1" applyBorder="1"/>
    <xf numFmtId="0" fontId="0" fillId="3" borderId="8" xfId="0" applyFill="1" applyBorder="1"/>
    <xf numFmtId="0" fontId="0" fillId="3" borderId="6" xfId="0" applyFill="1" applyBorder="1"/>
    <xf numFmtId="6" fontId="0" fillId="3" borderId="6" xfId="0" applyNumberFormat="1" applyFill="1" applyBorder="1"/>
    <xf numFmtId="6" fontId="0" fillId="3" borderId="3" xfId="0" applyNumberFormat="1" applyFill="1" applyBorder="1"/>
    <xf numFmtId="0" fontId="0" fillId="3" borderId="10" xfId="0" applyFill="1" applyBorder="1"/>
    <xf numFmtId="0" fontId="0" fillId="3" borderId="0" xfId="0" applyFill="1"/>
    <xf numFmtId="0" fontId="0" fillId="3" borderId="2" xfId="0" applyFill="1" applyBorder="1"/>
    <xf numFmtId="165" fontId="0" fillId="3" borderId="0" xfId="1" applyFont="1" applyFill="1" applyBorder="1"/>
    <xf numFmtId="165" fontId="0" fillId="3" borderId="5" xfId="1" applyFont="1" applyFill="1" applyBorder="1"/>
    <xf numFmtId="165" fontId="0" fillId="3" borderId="2" xfId="1" applyFont="1" applyFill="1" applyBorder="1"/>
    <xf numFmtId="165" fontId="0" fillId="3" borderId="9" xfId="1" applyFont="1" applyFill="1" applyBorder="1"/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tesfoundation.org/Who-We-Are/General-Information/Financials" TargetMode="External"/><Relationship Id="rId13" Type="http://schemas.openxmlformats.org/officeDocument/2006/relationships/hyperlink" Target="http://www.otpp.com/documents/10179/734740/-/ff63ca2e-7557-4365-a068-e434fd0842de/Annual+Report.pdf" TargetMode="External"/><Relationship Id="rId18" Type="http://schemas.openxmlformats.org/officeDocument/2006/relationships/hyperlink" Target="http://www.hmc.harvard.edu/docs/Final_Annual_Report_2015.pdf" TargetMode="External"/><Relationship Id="rId26" Type="http://schemas.openxmlformats.org/officeDocument/2006/relationships/hyperlink" Target="http://www.exchange-rates.org/" TargetMode="External"/><Relationship Id="rId39" Type="http://schemas.openxmlformats.org/officeDocument/2006/relationships/hyperlink" Target="http://www.vermonttreasurer.gov/pension-funds" TargetMode="External"/><Relationship Id="rId3" Type="http://schemas.openxmlformats.org/officeDocument/2006/relationships/hyperlink" Target="http://www.cppib.com/dam/cppib/What%20We%20Do/Our%20Investment/Q4%202015%20Canadian%20Public%20Equity%20Holdings%20%28EN%29.htm" TargetMode="External"/><Relationship Id="rId21" Type="http://schemas.openxmlformats.org/officeDocument/2006/relationships/hyperlink" Target="https://www.abp.nl/english/investments/" TargetMode="External"/><Relationship Id="rId34" Type="http://schemas.openxmlformats.org/officeDocument/2006/relationships/hyperlink" Target="http://www.lse.ac.uk/intranet/LSEServices/financeDivision/pdf/2012AnnualAccountsFINAL.pdf%20(83.2%20million%20pounds%20as%20of%20July%2031,%202012)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://www.wellcome.ac.uk/stellent/groups/corporatesite/@msh_publishing_group/documents/web_document/wtp058191.pdf" TargetMode="External"/><Relationship Id="rId12" Type="http://schemas.openxmlformats.org/officeDocument/2006/relationships/hyperlink" Target="http://www.omers.com/corporate/corporate_annual_report.aspx" TargetMode="External"/><Relationship Id="rId17" Type="http://schemas.openxmlformats.org/officeDocument/2006/relationships/hyperlink" Target="http://www.gatesfoundation.org/Who-We-Are/General-Information/Financials" TargetMode="External"/><Relationship Id="rId25" Type="http://schemas.openxmlformats.org/officeDocument/2006/relationships/hyperlink" Target="http://www.futurefund.gov.au/__data/assets/pdf_file/0009/5778/Annual_Report_2012-13.pdf%20%20($88,900,000,000%20value%20of%20portfolio%20as%20of%20June%2030,%202012)" TargetMode="External"/><Relationship Id="rId33" Type="http://schemas.openxmlformats.org/officeDocument/2006/relationships/hyperlink" Target="http://www.lse.ac.uk/intranet/LSEServices/financeDivision/pdf/2014AnnualAccounts.pdf" TargetMode="External"/><Relationship Id="rId38" Type="http://schemas.openxmlformats.org/officeDocument/2006/relationships/hyperlink" Target="https://www.opendatanyc.com/NYCERS-NYC-Employees-Retirement-System-/NYCERS-Pension-Fund-Quarterly-Report-2Q-2012/bma6-n26m%20($41.6%20billion%20value%20as%20of%20end%20of%20Q2%202012)" TargetMode="External"/><Relationship Id="rId2" Type="http://schemas.openxmlformats.org/officeDocument/2006/relationships/hyperlink" Target="http://www.bloomberg.com/markets/currencies" TargetMode="External"/><Relationship Id="rId16" Type="http://schemas.openxmlformats.org/officeDocument/2006/relationships/hyperlink" Target="http://www.wellcome.ac.uk/About-us/Publications/Annual-Report-and-Financial-Statements/" TargetMode="External"/><Relationship Id="rId20" Type="http://schemas.openxmlformats.org/officeDocument/2006/relationships/hyperlink" Target="https://www.abp.nl/english/investments/" TargetMode="External"/><Relationship Id="rId29" Type="http://schemas.openxmlformats.org/officeDocument/2006/relationships/hyperlink" Target="http://www.omers.com/pdf/OMERS_AR_2012_-_ENG_FULL.pdf%20($88,100,000,000%20value%20as%20of%20Dec%2031,%202012)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futurefund.gov.au/" TargetMode="External"/><Relationship Id="rId6" Type="http://schemas.openxmlformats.org/officeDocument/2006/relationships/hyperlink" Target="https://www.mcgill.ca/investments/holdings" TargetMode="External"/><Relationship Id="rId11" Type="http://schemas.openxmlformats.org/officeDocument/2006/relationships/hyperlink" Target="http://viewer.zmags.com/publication/53289bac" TargetMode="External"/><Relationship Id="rId24" Type="http://schemas.openxmlformats.org/officeDocument/2006/relationships/hyperlink" Target="https://www.mcgill.ca/investments/annual-reports/report-endowment-performance-2011-12-0%20($471,800,000%20value%20as%20of%20June%2030/2012)" TargetMode="External"/><Relationship Id="rId32" Type="http://schemas.openxmlformats.org/officeDocument/2006/relationships/hyperlink" Target="http://www.utam.utoronto.ca/Assets/UTAM+Digital+Assets/UTAM/UTAM+Digital+Assets/reports/2012+annual+report.pdf%20($5,805,000,000%20value%20as%20of%20Dec%2031,%202012)" TargetMode="External"/><Relationship Id="rId37" Type="http://schemas.openxmlformats.org/officeDocument/2006/relationships/hyperlink" Target="http://www.hmc.harvard.edu/docs/Final_Annual_Report_2012.pdf%20($30.7%20billion%20value%20as%20of%20%20June%2030/2012)" TargetMode="External"/><Relationship Id="rId40" Type="http://schemas.openxmlformats.org/officeDocument/2006/relationships/hyperlink" Target="https://www.apg.nl/en/pdfs/annual-reportapg-2012.pdf%20(324%20billion%20EURO%20value%20as%20of%20Dec%2031/2012)" TargetMode="External"/><Relationship Id="rId5" Type="http://schemas.openxmlformats.org/officeDocument/2006/relationships/hyperlink" Target="http://www.otpp.com/investments/essentials/major-investments" TargetMode="External"/><Relationship Id="rId15" Type="http://schemas.openxmlformats.org/officeDocument/2006/relationships/hyperlink" Target="https://www.mcgill.ca/investments/files/investments/webpage_posting_file_for_2014.pdf" TargetMode="External"/><Relationship Id="rId23" Type="http://schemas.openxmlformats.org/officeDocument/2006/relationships/hyperlink" Target="http://www.vermonttreasurer.gov/about-us/treasurers-reports/annual-report" TargetMode="External"/><Relationship Id="rId28" Type="http://schemas.openxmlformats.org/officeDocument/2006/relationships/hyperlink" Target="http://www.cppib.com/content/dam/cppib/common/en/PDF/CPPIB_2012_Annual_Report_-_English.pdf%20($161,60,00,00,000%20value%20of%20portfolio%20as%20of%20March%2031,%202012)" TargetMode="External"/><Relationship Id="rId36" Type="http://schemas.openxmlformats.org/officeDocument/2006/relationships/hyperlink" Target="http://www.gatesfoundation.org/Who-We-Are/General-Information/Financials%20($36,444,210,791%20value%20as%20of%20Dec%2031%202012)" TargetMode="External"/><Relationship Id="rId10" Type="http://schemas.openxmlformats.org/officeDocument/2006/relationships/hyperlink" Target="http://www.nycers.org/%28S%28aoktmo2wx3rlc3ey1rafqk45%29%29/Pdf/cafr/2014/CAFR2014.pdf" TargetMode="External"/><Relationship Id="rId19" Type="http://schemas.openxmlformats.org/officeDocument/2006/relationships/hyperlink" Target="http://comptroller.nyc.gov/general-information/pension-funds-asset-allocation/" TargetMode="External"/><Relationship Id="rId31" Type="http://schemas.openxmlformats.org/officeDocument/2006/relationships/hyperlink" Target="http://www.utam.utoronto.ca/Assets/UTAM+Digital+Assets/Q2+2015+-+List+of+Securities.pdf" TargetMode="External"/><Relationship Id="rId4" Type="http://schemas.openxmlformats.org/officeDocument/2006/relationships/hyperlink" Target="http://www.omers.com/investments/Our_Investments_Major_Investments.aspx" TargetMode="External"/><Relationship Id="rId9" Type="http://schemas.openxmlformats.org/officeDocument/2006/relationships/hyperlink" Target="http://www.sec.gov/Archives/edgar/data/1082621/000095012315002078/xslForm13F_X01/form13fInfoTable.xml" TargetMode="External"/><Relationship Id="rId14" Type="http://schemas.openxmlformats.org/officeDocument/2006/relationships/hyperlink" Target="http://www.utam.utoronto.ca/annual.htm" TargetMode="External"/><Relationship Id="rId22" Type="http://schemas.openxmlformats.org/officeDocument/2006/relationships/hyperlink" Target="http://www.anu.edu.au/files/review/15062AnnualReport%20%28WEB%29.pdf" TargetMode="External"/><Relationship Id="rId27" Type="http://schemas.openxmlformats.org/officeDocument/2006/relationships/hyperlink" Target="http://www.anu.edu.au/files/review/Investment-Flyer-2012.pdf%20($1,130.6%20million%20value%2031%20December,%202012)" TargetMode="External"/><Relationship Id="rId30" Type="http://schemas.openxmlformats.org/officeDocument/2006/relationships/hyperlink" Target="http://www.otpp.com/documents/10179/39482a3d-435c-40d1-96cf-cd6a38d6880a%20($59,511,000,000%20value%20as%20of%20Dec%2031,%202012)" TargetMode="External"/><Relationship Id="rId35" Type="http://schemas.openxmlformats.org/officeDocument/2006/relationships/hyperlink" Target="http://www.wellcome.ac.uk/stellent/groups/corporatesite/@msh_publishing_group/documents/web_document/wtp041256.pdf%20(6,494.6%20million%20pounds%20as%20of%20Sept%2030/2012)" TargetMode="Externa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"/>
  <sheetViews>
    <sheetView tabSelected="1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5" x14ac:dyDescent="0.25"/>
  <cols>
    <col min="1" max="1" width="32.5703125" style="41" customWidth="1"/>
    <col min="2" max="2" width="9.140625" style="10"/>
    <col min="3" max="3" width="23" style="41" customWidth="1"/>
    <col min="4" max="4" width="9" style="10" customWidth="1"/>
    <col min="5" max="5" width="8.5703125" style="10" customWidth="1"/>
    <col min="6" max="6" width="11.85546875" style="10" customWidth="1"/>
    <col min="7" max="7" width="15.28515625" style="73" customWidth="1"/>
    <col min="8" max="8" width="18" style="81" bestFit="1" customWidth="1"/>
    <col min="9" max="9" width="12.5703125" style="10" customWidth="1"/>
    <col min="10" max="10" width="18" style="10" bestFit="1" customWidth="1"/>
    <col min="11" max="11" width="14.7109375" style="10" customWidth="1"/>
    <col min="12" max="12" width="15.28515625" style="10" customWidth="1"/>
    <col min="13" max="13" width="19" style="10" customWidth="1"/>
    <col min="14" max="14" width="18" style="10" customWidth="1"/>
    <col min="15" max="15" width="12" style="10" customWidth="1"/>
    <col min="16" max="16" width="23.28515625" style="81" customWidth="1"/>
    <col min="17" max="17" width="17.5703125" style="10" customWidth="1"/>
    <col min="18" max="18" width="15.85546875" style="10" customWidth="1"/>
    <col min="19" max="19" width="27.28515625" style="11" customWidth="1"/>
    <col min="20" max="21" width="9.140625" style="10"/>
    <col min="22" max="22" width="12" style="10" bestFit="1" customWidth="1"/>
    <col min="23" max="23" width="9.140625" style="10"/>
    <col min="24" max="24" width="11" style="10" bestFit="1" customWidth="1"/>
    <col min="25" max="16384" width="9.140625" style="10"/>
  </cols>
  <sheetData>
    <row r="1" spans="1:22" s="4" customFormat="1" ht="75" x14ac:dyDescent="0.25">
      <c r="A1" s="1" t="s">
        <v>0</v>
      </c>
      <c r="B1" s="1" t="s">
        <v>1</v>
      </c>
      <c r="C1" s="1" t="s">
        <v>14</v>
      </c>
      <c r="D1" s="1" t="s">
        <v>10</v>
      </c>
      <c r="E1" s="2" t="s">
        <v>6</v>
      </c>
      <c r="F1" s="1" t="s">
        <v>5</v>
      </c>
      <c r="G1" s="63" t="s">
        <v>64</v>
      </c>
      <c r="H1" s="74" t="s">
        <v>63</v>
      </c>
      <c r="I1" s="1" t="s">
        <v>65</v>
      </c>
      <c r="J1" s="1" t="s">
        <v>66</v>
      </c>
      <c r="K1" s="1" t="s">
        <v>61</v>
      </c>
      <c r="L1" s="1" t="s">
        <v>62</v>
      </c>
      <c r="M1" s="1" t="s">
        <v>57</v>
      </c>
      <c r="N1" s="1" t="s">
        <v>58</v>
      </c>
      <c r="O1" s="1" t="s">
        <v>33</v>
      </c>
      <c r="P1" s="74" t="s">
        <v>101</v>
      </c>
      <c r="Q1" s="1" t="s">
        <v>55</v>
      </c>
      <c r="R1" s="1"/>
      <c r="S1" s="3" t="s">
        <v>67</v>
      </c>
      <c r="T1" s="1" t="s">
        <v>53</v>
      </c>
      <c r="U1" s="2" t="s">
        <v>60</v>
      </c>
      <c r="V1" s="1" t="s">
        <v>5</v>
      </c>
    </row>
    <row r="2" spans="1:22" ht="30" hidden="1" x14ac:dyDescent="0.25">
      <c r="A2" s="5" t="s">
        <v>36</v>
      </c>
      <c r="B2" s="6" t="s">
        <v>2</v>
      </c>
      <c r="C2" s="7"/>
      <c r="D2" s="6" t="s">
        <v>7</v>
      </c>
      <c r="E2" s="8">
        <v>0.70569999999999999</v>
      </c>
      <c r="F2" s="9" t="s">
        <v>11</v>
      </c>
      <c r="G2" s="64"/>
      <c r="H2" s="82"/>
      <c r="I2" s="9"/>
      <c r="J2" s="9"/>
      <c r="K2" s="9"/>
      <c r="L2" s="9"/>
      <c r="M2" s="6" t="s">
        <v>3</v>
      </c>
      <c r="N2" s="6"/>
      <c r="O2" s="9"/>
      <c r="P2" s="75"/>
      <c r="Q2" s="10" t="s">
        <v>8</v>
      </c>
    </row>
    <row r="3" spans="1:22" ht="30" x14ac:dyDescent="0.25">
      <c r="A3" s="12" t="s">
        <v>4</v>
      </c>
      <c r="B3" s="13" t="s">
        <v>2</v>
      </c>
      <c r="C3" s="14" t="s">
        <v>56</v>
      </c>
      <c r="D3" s="15" t="s">
        <v>7</v>
      </c>
      <c r="E3" s="15">
        <v>0.70569999999999999</v>
      </c>
      <c r="F3" s="15" t="s">
        <v>11</v>
      </c>
      <c r="G3" s="65">
        <v>117830</v>
      </c>
      <c r="H3" s="83">
        <f t="shared" ref="H3:H16" si="0">G3*E3</f>
        <v>83152.630999999994</v>
      </c>
      <c r="I3" s="15" t="s">
        <v>12</v>
      </c>
      <c r="J3" s="15">
        <v>0.44600000000000001</v>
      </c>
      <c r="K3" s="18">
        <f>G3*J3</f>
        <v>52552.18</v>
      </c>
      <c r="L3" s="18">
        <f>K3*E3</f>
        <v>37086.073426000003</v>
      </c>
      <c r="M3" s="11">
        <v>18388.999856999999</v>
      </c>
      <c r="N3" s="17">
        <f>M3*E3</f>
        <v>12977.1171990849</v>
      </c>
      <c r="O3" s="15" t="s">
        <v>28</v>
      </c>
      <c r="P3" s="76" t="s">
        <v>69</v>
      </c>
      <c r="Q3" s="19" t="s">
        <v>72</v>
      </c>
      <c r="S3" s="11">
        <f>88900000000*T3*U3</f>
        <v>36221660475</v>
      </c>
      <c r="T3" s="10">
        <v>0.39300000000000002</v>
      </c>
      <c r="U3" s="10">
        <v>1.0367500000000001</v>
      </c>
      <c r="V3" s="20" t="s">
        <v>68</v>
      </c>
    </row>
    <row r="4" spans="1:22" ht="45" x14ac:dyDescent="0.25">
      <c r="A4" s="21" t="s">
        <v>45</v>
      </c>
      <c r="B4" s="22" t="s">
        <v>2</v>
      </c>
      <c r="C4" s="21" t="s">
        <v>47</v>
      </c>
      <c r="D4" s="23" t="s">
        <v>7</v>
      </c>
      <c r="E4" s="23">
        <v>0.70569999999999999</v>
      </c>
      <c r="F4" s="23" t="s">
        <v>11</v>
      </c>
      <c r="G4" s="66">
        <v>973.47400000000005</v>
      </c>
      <c r="H4" s="84">
        <f t="shared" si="0"/>
        <v>686.98060180000004</v>
      </c>
      <c r="I4" s="23" t="s">
        <v>15</v>
      </c>
      <c r="J4" s="25">
        <f>445.947/G4</f>
        <v>0.45809852137807477</v>
      </c>
      <c r="K4" s="26">
        <f>G4*J4</f>
        <v>445.947</v>
      </c>
      <c r="L4" s="26">
        <f>K4*E4</f>
        <v>314.70479790000002</v>
      </c>
      <c r="M4" s="27">
        <v>280.61438099999998</v>
      </c>
      <c r="N4" s="24">
        <f>M4*E4</f>
        <v>198.02956867169999</v>
      </c>
      <c r="O4" s="23" t="s">
        <v>70</v>
      </c>
      <c r="P4" s="77" t="s">
        <v>74</v>
      </c>
      <c r="Q4" s="19" t="s">
        <v>77</v>
      </c>
      <c r="S4" s="11">
        <f>(1130600000*T4)*U4</f>
        <v>569664681.30000007</v>
      </c>
      <c r="T4" s="10">
        <f>0.356+0.13</f>
        <v>0.48599999999999999</v>
      </c>
      <c r="U4" s="10">
        <v>1.0367500000000001</v>
      </c>
      <c r="V4" s="20" t="s">
        <v>68</v>
      </c>
    </row>
    <row r="5" spans="1:22" ht="30" x14ac:dyDescent="0.25">
      <c r="A5" s="28" t="s">
        <v>37</v>
      </c>
      <c r="B5" s="29" t="s">
        <v>24</v>
      </c>
      <c r="C5" s="30" t="s">
        <v>71</v>
      </c>
      <c r="D5" s="13" t="s">
        <v>9</v>
      </c>
      <c r="E5" s="13">
        <v>0.75519999999999998</v>
      </c>
      <c r="F5" s="13" t="s">
        <v>11</v>
      </c>
      <c r="G5" s="67">
        <v>264600</v>
      </c>
      <c r="H5" s="83">
        <f t="shared" si="0"/>
        <v>199825.91999999998</v>
      </c>
      <c r="I5" s="13" t="s">
        <v>13</v>
      </c>
      <c r="J5" s="32">
        <f>0.37+0.073+0.059</f>
        <v>0.502</v>
      </c>
      <c r="K5" s="17">
        <f>G5*J5</f>
        <v>132829.20000000001</v>
      </c>
      <c r="L5" s="18">
        <f t="shared" ref="L5:L16" si="1">K5*E5</f>
        <v>100312.61184000001</v>
      </c>
      <c r="M5" s="31">
        <v>17595</v>
      </c>
      <c r="N5" s="17">
        <f t="shared" ref="N5:N16" si="2">M5*E5</f>
        <v>13287.744000000001</v>
      </c>
      <c r="O5" s="13" t="s">
        <v>13</v>
      </c>
      <c r="P5" s="76" t="s">
        <v>75</v>
      </c>
      <c r="Q5" s="19" t="s">
        <v>73</v>
      </c>
      <c r="S5" s="11">
        <f>(161600000000*T5)*U5</f>
        <v>82773976320</v>
      </c>
      <c r="T5" s="10">
        <f>0.351+0.088+0.065</f>
        <v>0.504</v>
      </c>
      <c r="U5" s="10">
        <v>1.0163</v>
      </c>
      <c r="V5" s="20" t="s">
        <v>68</v>
      </c>
    </row>
    <row r="6" spans="1:22" ht="30" x14ac:dyDescent="0.25">
      <c r="A6" s="28" t="s">
        <v>38</v>
      </c>
      <c r="B6" s="29" t="s">
        <v>24</v>
      </c>
      <c r="C6" s="30" t="s">
        <v>79</v>
      </c>
      <c r="D6" s="13" t="s">
        <v>9</v>
      </c>
      <c r="E6" s="13">
        <v>0.75519999999999998</v>
      </c>
      <c r="F6" s="13" t="s">
        <v>11</v>
      </c>
      <c r="G6" s="65">
        <v>72000</v>
      </c>
      <c r="H6" s="83">
        <f t="shared" si="0"/>
        <v>54374.400000000001</v>
      </c>
      <c r="I6" s="13" t="s">
        <v>15</v>
      </c>
      <c r="J6" s="32">
        <v>0.57399999999999995</v>
      </c>
      <c r="K6" s="17">
        <v>41709</v>
      </c>
      <c r="L6" s="18">
        <f t="shared" si="1"/>
        <v>31498.6368</v>
      </c>
      <c r="M6" s="16">
        <v>1864.5398560000001</v>
      </c>
      <c r="N6" s="17">
        <f t="shared" si="2"/>
        <v>1408.1004992512001</v>
      </c>
      <c r="O6" s="13" t="s">
        <v>15</v>
      </c>
      <c r="P6" s="76" t="s">
        <v>78</v>
      </c>
      <c r="Q6" s="19" t="s">
        <v>76</v>
      </c>
      <c r="S6" s="11">
        <f>(88100000000*0.58)*E6</f>
        <v>38589209600</v>
      </c>
      <c r="T6" s="10">
        <f>0.599</f>
        <v>0.59899999999999998</v>
      </c>
      <c r="U6" s="10">
        <v>1.0163</v>
      </c>
      <c r="V6" s="20" t="s">
        <v>68</v>
      </c>
    </row>
    <row r="7" spans="1:22" ht="30" x14ac:dyDescent="0.25">
      <c r="A7" s="28" t="s">
        <v>39</v>
      </c>
      <c r="B7" s="29" t="s">
        <v>24</v>
      </c>
      <c r="C7" s="30" t="s">
        <v>34</v>
      </c>
      <c r="D7" s="13" t="s">
        <v>9</v>
      </c>
      <c r="E7" s="13">
        <v>0.75519999999999998</v>
      </c>
      <c r="F7" s="13" t="s">
        <v>11</v>
      </c>
      <c r="G7" s="67">
        <v>152386</v>
      </c>
      <c r="H7" s="83">
        <f t="shared" si="0"/>
        <v>115081.9072</v>
      </c>
      <c r="I7" s="13" t="s">
        <v>15</v>
      </c>
      <c r="J7" s="32">
        <f>K7/G7</f>
        <v>0.51743598493299914</v>
      </c>
      <c r="K7" s="17">
        <f>10710+68140</f>
        <v>78850</v>
      </c>
      <c r="L7" s="18">
        <f t="shared" si="1"/>
        <v>59547.519999999997</v>
      </c>
      <c r="M7" s="16">
        <v>16421.8</v>
      </c>
      <c r="N7" s="17">
        <f t="shared" si="2"/>
        <v>12401.743359999999</v>
      </c>
      <c r="O7" s="13" t="s">
        <v>15</v>
      </c>
      <c r="P7" s="76" t="s">
        <v>80</v>
      </c>
      <c r="Q7" s="19" t="s">
        <v>90</v>
      </c>
      <c r="S7" s="11">
        <f>59511000000*U7</f>
        <v>60481029300</v>
      </c>
      <c r="T7" s="10">
        <v>0.44</v>
      </c>
      <c r="U7" s="10">
        <v>1.0163</v>
      </c>
      <c r="V7" s="20" t="s">
        <v>68</v>
      </c>
    </row>
    <row r="8" spans="1:22" ht="75" x14ac:dyDescent="0.25">
      <c r="A8" s="28" t="s">
        <v>40</v>
      </c>
      <c r="B8" s="29" t="s">
        <v>24</v>
      </c>
      <c r="C8" s="30" t="s">
        <v>16</v>
      </c>
      <c r="D8" s="13" t="s">
        <v>9</v>
      </c>
      <c r="E8" s="13">
        <v>0.75519999999999998</v>
      </c>
      <c r="F8" s="13" t="s">
        <v>11</v>
      </c>
      <c r="G8" s="65">
        <v>7400</v>
      </c>
      <c r="H8" s="83">
        <f t="shared" si="0"/>
        <v>5588.48</v>
      </c>
      <c r="I8" s="13" t="s">
        <v>51</v>
      </c>
      <c r="J8" s="13">
        <v>0.6</v>
      </c>
      <c r="K8" s="17">
        <f>G8*J8</f>
        <v>4440</v>
      </c>
      <c r="L8" s="18">
        <f t="shared" si="1"/>
        <v>3353.0879999999997</v>
      </c>
      <c r="M8" s="33" t="s">
        <v>59</v>
      </c>
      <c r="N8" s="17"/>
      <c r="O8" s="13" t="s">
        <v>51</v>
      </c>
      <c r="P8" s="76" t="s">
        <v>81</v>
      </c>
      <c r="Q8" s="19" t="s">
        <v>82</v>
      </c>
      <c r="S8" s="11">
        <f>(1896000000+2751000000+1158000000)*T8*U8</f>
        <v>3539772900</v>
      </c>
      <c r="T8" s="10">
        <v>0.6</v>
      </c>
      <c r="U8" s="10">
        <v>1.0163</v>
      </c>
      <c r="V8" s="20" t="s">
        <v>68</v>
      </c>
    </row>
    <row r="9" spans="1:22" ht="30" x14ac:dyDescent="0.25">
      <c r="A9" s="34" t="s">
        <v>54</v>
      </c>
      <c r="B9" s="29" t="s">
        <v>24</v>
      </c>
      <c r="C9" s="30" t="s">
        <v>17</v>
      </c>
      <c r="D9" s="13" t="s">
        <v>9</v>
      </c>
      <c r="E9" s="13">
        <v>0.75519999999999998</v>
      </c>
      <c r="F9" s="13" t="s">
        <v>11</v>
      </c>
      <c r="G9" s="67">
        <v>1311.6</v>
      </c>
      <c r="H9" s="83">
        <f t="shared" si="0"/>
        <v>990.52031999999986</v>
      </c>
      <c r="I9" s="13" t="s">
        <v>28</v>
      </c>
      <c r="J9" s="32">
        <f>K9/G9</f>
        <v>0.46218359255870689</v>
      </c>
      <c r="K9" s="17">
        <f>133.2+204.6+268.4</f>
        <v>606.19999999999993</v>
      </c>
      <c r="L9" s="18">
        <f t="shared" si="1"/>
        <v>457.80223999999993</v>
      </c>
      <c r="M9" s="16">
        <v>99.848352000000006</v>
      </c>
      <c r="N9" s="17">
        <f t="shared" si="2"/>
        <v>75.405475430400003</v>
      </c>
      <c r="O9" s="13" t="s">
        <v>12</v>
      </c>
      <c r="P9" s="76" t="s">
        <v>84</v>
      </c>
      <c r="Q9" s="19" t="s">
        <v>83</v>
      </c>
      <c r="S9" s="11">
        <f>(160800000+126100000+184900000)*U9</f>
        <v>479490340</v>
      </c>
      <c r="T9" s="35">
        <f>S9/957700000</f>
        <v>0.50066862274198598</v>
      </c>
      <c r="U9" s="10">
        <v>1.0163</v>
      </c>
      <c r="V9" s="20" t="s">
        <v>68</v>
      </c>
    </row>
    <row r="10" spans="1:22" ht="30" x14ac:dyDescent="0.25">
      <c r="A10" s="30" t="s">
        <v>48</v>
      </c>
      <c r="B10" s="6" t="s">
        <v>25</v>
      </c>
      <c r="C10" s="7" t="s">
        <v>85</v>
      </c>
      <c r="D10" s="6" t="s">
        <v>35</v>
      </c>
      <c r="E10" s="6">
        <v>1.5217000000000001</v>
      </c>
      <c r="F10" s="6" t="s">
        <v>11</v>
      </c>
      <c r="G10" s="68">
        <v>97.22</v>
      </c>
      <c r="H10" s="85">
        <f>E10*G10</f>
        <v>147.939674</v>
      </c>
      <c r="I10" s="6" t="s">
        <v>49</v>
      </c>
      <c r="J10" s="37">
        <f>K10/G10</f>
        <v>0.62953096070767334</v>
      </c>
      <c r="K10" s="38">
        <f>31.984+29.219</f>
        <v>61.203000000000003</v>
      </c>
      <c r="L10" s="39">
        <f>K10*E10</f>
        <v>93.132605100000006</v>
      </c>
      <c r="M10" s="40" t="s">
        <v>59</v>
      </c>
      <c r="N10" s="36" t="s">
        <v>59</v>
      </c>
      <c r="O10" s="6" t="s">
        <v>15</v>
      </c>
      <c r="P10" s="75" t="s">
        <v>87</v>
      </c>
      <c r="Q10" s="19" t="s">
        <v>86</v>
      </c>
      <c r="S10" s="11">
        <f>(20739000+7267000+1797000+4335000+1050000+6369000)*U10</f>
        <v>67064686.599999994</v>
      </c>
      <c r="T10" s="10">
        <f>(20739+7267+1797+4335+1050+6369)/83199</f>
        <v>0.49948917655260278</v>
      </c>
      <c r="U10" s="10">
        <v>1.6137999999999999</v>
      </c>
      <c r="V10" s="20" t="s">
        <v>68</v>
      </c>
    </row>
    <row r="11" spans="1:22" ht="30" x14ac:dyDescent="0.25">
      <c r="A11" s="41" t="s">
        <v>20</v>
      </c>
      <c r="B11" s="42" t="s">
        <v>25</v>
      </c>
      <c r="C11" s="43" t="s">
        <v>19</v>
      </c>
      <c r="D11" s="22" t="s">
        <v>35</v>
      </c>
      <c r="E11" s="22">
        <v>1.5217000000000001</v>
      </c>
      <c r="F11" s="22" t="s">
        <v>11</v>
      </c>
      <c r="G11" s="69">
        <v>18038</v>
      </c>
      <c r="H11" s="84">
        <f t="shared" si="0"/>
        <v>27448.424600000002</v>
      </c>
      <c r="I11" s="22" t="s">
        <v>88</v>
      </c>
      <c r="J11" s="45">
        <f>K11/G11</f>
        <v>0.51042798536423106</v>
      </c>
      <c r="K11" s="38">
        <v>9207.1</v>
      </c>
      <c r="L11" s="26">
        <f t="shared" si="1"/>
        <v>14010.444070000001</v>
      </c>
      <c r="M11" s="44">
        <v>4714</v>
      </c>
      <c r="N11" s="24">
        <f t="shared" si="2"/>
        <v>7173.2938000000004</v>
      </c>
      <c r="O11" s="22" t="s">
        <v>88</v>
      </c>
      <c r="P11" s="78" t="s">
        <v>91</v>
      </c>
      <c r="Q11" s="19" t="s">
        <v>89</v>
      </c>
      <c r="S11" s="11">
        <f>6494600000*U11</f>
        <v>10480985480</v>
      </c>
      <c r="T11" s="35">
        <f>S11/15605600000</f>
        <v>0.67161695032552415</v>
      </c>
      <c r="U11" s="10">
        <v>1.6137999999999999</v>
      </c>
      <c r="V11" s="20" t="s">
        <v>68</v>
      </c>
    </row>
    <row r="12" spans="1:22" ht="45" x14ac:dyDescent="0.25">
      <c r="A12" s="46" t="s">
        <v>21</v>
      </c>
      <c r="B12" s="47" t="s">
        <v>26</v>
      </c>
      <c r="C12" s="7" t="s">
        <v>22</v>
      </c>
      <c r="D12" s="6" t="s">
        <v>18</v>
      </c>
      <c r="E12" s="6">
        <v>1</v>
      </c>
      <c r="F12" s="6" t="s">
        <v>11</v>
      </c>
      <c r="G12" s="70">
        <v>40564</v>
      </c>
      <c r="H12" s="85">
        <f t="shared" si="0"/>
        <v>40564</v>
      </c>
      <c r="I12" s="6" t="s">
        <v>23</v>
      </c>
      <c r="J12" s="48">
        <f>K12/G12</f>
        <v>0.68858386631002855</v>
      </c>
      <c r="K12" s="49">
        <f>M12</f>
        <v>27931.715952999999</v>
      </c>
      <c r="L12" s="39">
        <f t="shared" si="1"/>
        <v>27931.715952999999</v>
      </c>
      <c r="M12" s="40">
        <v>27931.715952999999</v>
      </c>
      <c r="N12" s="36">
        <f t="shared" si="2"/>
        <v>27931.715952999999</v>
      </c>
      <c r="O12" s="6" t="s">
        <v>23</v>
      </c>
      <c r="P12" s="79" t="s">
        <v>93</v>
      </c>
      <c r="Q12" s="19" t="s">
        <v>92</v>
      </c>
      <c r="S12" s="11">
        <v>24312832119</v>
      </c>
      <c r="T12" s="35">
        <f>S12/40563753476</f>
        <v>0.59937333297780149</v>
      </c>
      <c r="U12" s="10">
        <v>1</v>
      </c>
      <c r="V12" s="20" t="s">
        <v>68</v>
      </c>
    </row>
    <row r="13" spans="1:22" ht="45" x14ac:dyDescent="0.25">
      <c r="A13" s="28" t="s">
        <v>42</v>
      </c>
      <c r="B13" s="29" t="s">
        <v>26</v>
      </c>
      <c r="C13" s="30" t="s">
        <v>27</v>
      </c>
      <c r="D13" s="13" t="s">
        <v>18</v>
      </c>
      <c r="E13" s="13">
        <v>1</v>
      </c>
      <c r="F13" s="13" t="s">
        <v>11</v>
      </c>
      <c r="G13" s="67">
        <v>37600</v>
      </c>
      <c r="H13" s="83">
        <f t="shared" si="0"/>
        <v>37600</v>
      </c>
      <c r="I13" s="13" t="s">
        <v>32</v>
      </c>
      <c r="J13" s="32">
        <v>0.3</v>
      </c>
      <c r="K13" s="50">
        <f>G13*J13</f>
        <v>11280</v>
      </c>
      <c r="L13" s="18">
        <f t="shared" si="1"/>
        <v>11280</v>
      </c>
      <c r="M13" s="16">
        <v>993.846</v>
      </c>
      <c r="N13" s="17">
        <f t="shared" si="2"/>
        <v>993.846</v>
      </c>
      <c r="O13" s="13" t="s">
        <v>15</v>
      </c>
      <c r="P13" s="76" t="s">
        <v>95</v>
      </c>
      <c r="Q13" s="19" t="s">
        <v>94</v>
      </c>
      <c r="S13" s="11">
        <f>30700000000*T13</f>
        <v>9210000000</v>
      </c>
      <c r="T13" s="10">
        <v>0.3</v>
      </c>
      <c r="U13" s="10">
        <v>1</v>
      </c>
      <c r="V13" s="20" t="s">
        <v>68</v>
      </c>
    </row>
    <row r="14" spans="1:22" ht="60" x14ac:dyDescent="0.25">
      <c r="A14" s="28" t="s">
        <v>41</v>
      </c>
      <c r="B14" s="29" t="s">
        <v>26</v>
      </c>
      <c r="C14" s="30" t="s">
        <v>29</v>
      </c>
      <c r="D14" s="13" t="s">
        <v>18</v>
      </c>
      <c r="E14" s="13">
        <v>1</v>
      </c>
      <c r="F14" s="13" t="s">
        <v>11</v>
      </c>
      <c r="G14" s="67">
        <v>54451</v>
      </c>
      <c r="H14" s="83">
        <f>G14*E14</f>
        <v>54451</v>
      </c>
      <c r="I14" s="13" t="s">
        <v>96</v>
      </c>
      <c r="J14" s="32">
        <f>(18408+9054)/G14</f>
        <v>0.50434335457567359</v>
      </c>
      <c r="K14" s="50">
        <f>18408+9054</f>
        <v>27462</v>
      </c>
      <c r="L14" s="18">
        <f>K14*E14</f>
        <v>27462</v>
      </c>
      <c r="M14" s="31">
        <v>5529.4245179999998</v>
      </c>
      <c r="N14" s="17">
        <f>M14*E14</f>
        <v>5529.4245179999998</v>
      </c>
      <c r="O14" s="13" t="s">
        <v>28</v>
      </c>
      <c r="P14" s="76" t="s">
        <v>98</v>
      </c>
      <c r="Q14" s="19" t="s">
        <v>97</v>
      </c>
      <c r="S14" s="11">
        <f>15100000000+4100000000+2500000000</f>
        <v>21700000000</v>
      </c>
      <c r="T14" s="35">
        <f>S14/41600000000</f>
        <v>0.52163461538461542</v>
      </c>
      <c r="U14" s="10">
        <v>1</v>
      </c>
      <c r="V14" s="20" t="s">
        <v>68</v>
      </c>
    </row>
    <row r="15" spans="1:22" ht="60" x14ac:dyDescent="0.25">
      <c r="A15" s="51" t="s">
        <v>52</v>
      </c>
      <c r="B15" s="13" t="s">
        <v>26</v>
      </c>
      <c r="C15" s="41" t="s">
        <v>50</v>
      </c>
      <c r="D15" s="13" t="s">
        <v>18</v>
      </c>
      <c r="E15" s="13">
        <v>1</v>
      </c>
      <c r="F15" s="13" t="s">
        <v>46</v>
      </c>
      <c r="G15" s="71">
        <v>4020</v>
      </c>
      <c r="H15" s="83">
        <f>G15*E15</f>
        <v>4020</v>
      </c>
      <c r="I15" s="13" t="s">
        <v>51</v>
      </c>
      <c r="J15" s="32">
        <v>0.315</v>
      </c>
      <c r="K15" s="11">
        <f>G15*J15</f>
        <v>1266.3</v>
      </c>
      <c r="L15" s="11">
        <f>K15</f>
        <v>1266.3</v>
      </c>
      <c r="M15" s="52">
        <f>L15</f>
        <v>1266.3</v>
      </c>
      <c r="N15" s="53">
        <f>L15</f>
        <v>1266.3</v>
      </c>
      <c r="O15" s="13" t="s">
        <v>103</v>
      </c>
      <c r="P15" s="77" t="s">
        <v>102</v>
      </c>
      <c r="Q15" s="10" t="s">
        <v>99</v>
      </c>
      <c r="S15" s="11">
        <v>1170000000</v>
      </c>
      <c r="T15" s="10">
        <v>0.32900000000000001</v>
      </c>
      <c r="U15" s="10">
        <v>1</v>
      </c>
      <c r="V15" s="20" t="s">
        <v>68</v>
      </c>
    </row>
    <row r="16" spans="1:22" ht="90" x14ac:dyDescent="0.25">
      <c r="A16" s="54" t="s">
        <v>43</v>
      </c>
      <c r="B16" s="55" t="s">
        <v>30</v>
      </c>
      <c r="C16" s="56" t="s">
        <v>100</v>
      </c>
      <c r="D16" s="55" t="s">
        <v>31</v>
      </c>
      <c r="E16" s="55">
        <v>1.0740000000000001</v>
      </c>
      <c r="F16" s="55" t="s">
        <v>11</v>
      </c>
      <c r="G16" s="72">
        <v>356000</v>
      </c>
      <c r="H16" s="86">
        <f t="shared" si="0"/>
        <v>382344</v>
      </c>
      <c r="I16" s="55" t="s">
        <v>32</v>
      </c>
      <c r="J16" s="59">
        <f>141368/G16</f>
        <v>0.39710112359550565</v>
      </c>
      <c r="K16" s="60">
        <f>G16*J16</f>
        <v>141368</v>
      </c>
      <c r="L16" s="61">
        <f t="shared" si="1"/>
        <v>151829.23200000002</v>
      </c>
      <c r="M16" s="57">
        <v>105976</v>
      </c>
      <c r="N16" s="58">
        <f t="shared" si="2"/>
        <v>113818.224</v>
      </c>
      <c r="O16" s="55" t="s">
        <v>32</v>
      </c>
      <c r="P16" s="80" t="s">
        <v>105</v>
      </c>
      <c r="Q16" s="19" t="s">
        <v>104</v>
      </c>
      <c r="S16" s="11">
        <f>324000000000*T16*U16</f>
        <v>166523040000</v>
      </c>
      <c r="T16" s="10">
        <v>0.4</v>
      </c>
      <c r="U16" s="10">
        <v>1.2848999999999999</v>
      </c>
      <c r="V16" s="20" t="s">
        <v>68</v>
      </c>
    </row>
    <row r="18" spans="1:19" x14ac:dyDescent="0.25">
      <c r="A18" s="62" t="s">
        <v>44</v>
      </c>
      <c r="H18" s="83">
        <f>SUM(H2:H16)</f>
        <v>1006276.2033958001</v>
      </c>
      <c r="L18" s="53">
        <f>SUM(L3:L16)</f>
        <v>466443.26173199998</v>
      </c>
      <c r="N18" s="53">
        <f>SUM(N3:N16)</f>
        <v>197060.94437343819</v>
      </c>
      <c r="S18" s="10"/>
    </row>
  </sheetData>
  <hyperlinks>
    <hyperlink ref="G3" r:id="rId1" display="http://www.futurefund.gov.au/"/>
    <hyperlink ref="E1" r:id="rId2"/>
    <hyperlink ref="M5" r:id="rId3" display="http://www.cppib.com/dam/cppib/What We Do/Our Investment/Q4 2015 Canadian Public Equity Holdings %28EN%29.htm"/>
    <hyperlink ref="M6" r:id="rId4" display="http://www.omers.com/investments/Our_Investments_Major_Investments.aspx"/>
    <hyperlink ref="M7" r:id="rId5" display="http://www.otpp.com/investments/essentials/major-investments"/>
    <hyperlink ref="M9" r:id="rId6" display="https://www.mcgill.ca/investments/holdings"/>
    <hyperlink ref="M11" r:id="rId7" display="http://www.wellcome.ac.uk/stellent/groups/corporatesite/@msh_publishing_group/documents/web_document/wtp058191.pdf"/>
    <hyperlink ref="M12" r:id="rId8" display="http://www.gatesfoundation.org/Who-We-Are/General-Information/Financials"/>
    <hyperlink ref="M13" r:id="rId9" display="http://www.sec.gov/Archives/edgar/data/1082621/000095012315002078/xslForm13F_X01/form13fInfoTable.xml"/>
    <hyperlink ref="M14" r:id="rId10" display="http://www.nycers.org/%28S%28aoktmo2wx3rlc3ey1rafqk45%29%29/Pdf/cafr/2014/CAFR2014.pdf"/>
    <hyperlink ref="G5" r:id="rId11" location="/53289bac/2" display="http://viewer.zmags.com/publication/53289bac - /53289bac/2"/>
    <hyperlink ref="G6" r:id="rId12" display="http://www.omers.com/corporate/corporate_annual_report.aspx"/>
    <hyperlink ref="G7" r:id="rId13" display="http://www.otpp.com/documents/10179/734740/-/ff63ca2e-7557-4365-a068-e434fd0842de/Annual+Report.pdf"/>
    <hyperlink ref="G8" r:id="rId14" display="http://www.utam.utoronto.ca/annual.htm"/>
    <hyperlink ref="G9" r:id="rId15" display="https://www.mcgill.ca/investments/files/investments/webpage_posting_file_for_2014.pdf"/>
    <hyperlink ref="G11" r:id="rId16" display="http://www.wellcome.ac.uk/About-us/Publications/Annual-Report-and-Financial-Statements/"/>
    <hyperlink ref="G12" r:id="rId17" display="http://www.gatesfoundation.org/Who-We-Are/General-Information/Financials"/>
    <hyperlink ref="G13" r:id="rId18" display="http://www.hmc.harvard.edu/docs/Final_Annual_Report_2015.pdf"/>
    <hyperlink ref="G14" r:id="rId19" display="http://comptroller.nyc.gov/general-information/pension-funds-asset-allocation/"/>
    <hyperlink ref="M16" r:id="rId20" display="https://www.abp.nl/english/investments/"/>
    <hyperlink ref="G16" r:id="rId21" display="https://www.abp.nl/english/investments/"/>
    <hyperlink ref="G4" r:id="rId22" display="http://www.anu.edu.au/files/review/15062AnnualReport %28WEB%29.pdf"/>
    <hyperlink ref="G15" r:id="rId23" display="http://www.vermonttreasurer.gov/about-us/treasurers-reports/annual-report"/>
    <hyperlink ref="Q9" r:id="rId24"/>
    <hyperlink ref="Q3" r:id="rId25"/>
    <hyperlink ref="U1" r:id="rId26"/>
    <hyperlink ref="Q4" r:id="rId27"/>
    <hyperlink ref="Q5" r:id="rId28"/>
    <hyperlink ref="Q6" r:id="rId29"/>
    <hyperlink ref="Q7" r:id="rId30"/>
    <hyperlink ref="M8" r:id="rId31" display="Weights not disclosed"/>
    <hyperlink ref="Q8" r:id="rId32"/>
    <hyperlink ref="G10" r:id="rId33" display="http://www.lse.ac.uk/intranet/LSEServices/financeDivision/pdf/2014AnnualAccounts.pdf"/>
    <hyperlink ref="Q10" r:id="rId34"/>
    <hyperlink ref="Q11" r:id="rId35"/>
    <hyperlink ref="Q12" r:id="rId36"/>
    <hyperlink ref="Q13" r:id="rId37"/>
    <hyperlink ref="Q14" r:id="rId38"/>
    <hyperlink ref="M15" r:id="rId39" display="http://www.vermonttreasurer.gov/pension-funds"/>
    <hyperlink ref="Q16" r:id="rId40"/>
  </hyperlinks>
  <pageMargins left="0.7" right="0.7" top="0.75" bottom="0.75" header="0.3" footer="0.3"/>
  <pageSetup orientation="portrait" r:id="rId41"/>
  <ignoredErrors>
    <ignoredError sqref="K9" formula="1"/>
  </ignoredErrors>
  <legacy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Heaps</dc:creator>
  <cp:lastModifiedBy>Toby Heaps</cp:lastModifiedBy>
  <dcterms:created xsi:type="dcterms:W3CDTF">2015-11-10T17:56:51Z</dcterms:created>
  <dcterms:modified xsi:type="dcterms:W3CDTF">2015-11-14T21:48:08Z</dcterms:modified>
</cp:coreProperties>
</file>