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624"/>
  <workbookPr showObjects="placeholders" filterPrivacy="1" codeName="ThisWorkbook" defaultThemeVersion="124226"/>
  <xr:revisionPtr revIDLastSave="0" documentId="13_ncr:1_{069A7B41-1F64-49BD-8000-E4C68A88BD56}" xr6:coauthVersionLast="45" xr6:coauthVersionMax="45" xr10:uidLastSave="{00000000-0000-0000-0000-000000000000}"/>
  <bookViews>
    <workbookView xWindow="-120" yWindow="-120" windowWidth="29040" windowHeight="15840" tabRatio="877" xr2:uid="{00000000-000D-0000-FFFF-FFFF00000000}"/>
  </bookViews>
  <sheets>
    <sheet name="CI BUILDING DEEP RETROFIT" sheetId="91" r:id="rId1"/>
    <sheet name="Cost of Carbon Reductions" sheetId="93" r:id="rId2"/>
    <sheet name="COMM ENERGY USE" sheetId="75" state="hidden" r:id="rId3"/>
    <sheet name="Equip Shares" sheetId="74" r:id="rId4"/>
    <sheet name="Water Heat Shares" sheetId="72" r:id="rId5"/>
    <sheet name="Space Heat Shares" sheetId="71" r:id="rId6"/>
    <sheet name="Intensities" sheetId="67" r:id="rId7"/>
    <sheet name="Activity (Floor Area)" sheetId="57" r:id="rId8"/>
    <sheet name="Named Cells" sheetId="92" state="hidden" r:id="rId9"/>
  </sheets>
  <definedNames>
    <definedName name="baseyear">'Named Cells'!$B$18</definedName>
    <definedName name="cfloorarea">'Activity (Floor Area)'!$A$3:$C$12</definedName>
    <definedName name="cint2019">Intensities!$B$5:$L$11</definedName>
    <definedName name="cint2030">Intensities!$B$25:$L$31</definedName>
    <definedName name="commeff">'COMM ENERGY USE'!$U$1</definedName>
    <definedName name="commhp">'COMM ENERGY USE'!$U$2</definedName>
    <definedName name="commsumm">'COMM ENERGY USE'!$F$4:$G$153</definedName>
    <definedName name="commsummfuel">'COMM ENERGY USE'!$E$4:$E$153</definedName>
    <definedName name="commsumyr">'COMM ENERGY USE'!$F$3:$G$3</definedName>
    <definedName name="elintensfactor">'COMM ENERGY USE'!$F$1</definedName>
    <definedName name="elkwh2mj">'Named Cells'!$B$17</definedName>
    <definedName name="elp2gj">'Named Cells'!$B$17</definedName>
    <definedName name="eprice">'Named Cells'!$B$11</definedName>
    <definedName name="eqsh19">'Equip Shares'!$B$4:$L$6</definedName>
    <definedName name="eqshint">'Equip Shares'!$M$4:$W$6</definedName>
    <definedName name="futeprice">'CI BUILDING DEEP RETROFIT'!$L$4</definedName>
    <definedName name="futgprice">'CI BUILDING DEEP RETROFIT'!$K$4</definedName>
    <definedName name="futoprice">'CI BUILDING DEEP RETROFIT'!$M$4</definedName>
    <definedName name="gasef">'Named Cells'!$B$4</definedName>
    <definedName name="gasm32mj">'Named Cells'!$B$14</definedName>
    <definedName name="gaspm32gj">'Named Cells'!$B$14</definedName>
    <definedName name="gfactorkwh">'Named Cells'!$B$3</definedName>
    <definedName name="ggfactorkwh">'Named Cells'!$B$7</definedName>
    <definedName name="ggridfactor">'Named Cells'!$B$6</definedName>
    <definedName name="gprice">'Named Cells'!$B$10</definedName>
    <definedName name="gridfactor">'Named Cells'!$B$2</definedName>
    <definedName name="heatsh19">'Space Heat Shares'!$B$4:$L$9</definedName>
    <definedName name="heatshend">'Space Heat Shares'!#REF!</definedName>
    <definedName name="heatshin">'Space Heat Shares'!$M$3:$W$9</definedName>
    <definedName name="heatshint">'Space Heat Shares'!$M$4:$W$9</definedName>
    <definedName name="heatsource">'COMM ENERGY USE'!$E$54:$E$103</definedName>
    <definedName name="intyear">'Named Cells'!$B$19</definedName>
    <definedName name="oilef">'Named Cells'!$B$5</definedName>
    <definedName name="oilp2gj">'Named Cells'!$B$15</definedName>
    <definedName name="oprice">'Named Cells'!$B$12</definedName>
    <definedName name="postgasprice">'CI BUILDING DEEP RETROFIT'!$K$4</definedName>
    <definedName name="sm2sf">'Named Cells'!$B$8</definedName>
    <definedName name="totsavings">'Cost of Carbon Reductions'!$B$5</definedName>
    <definedName name="whsh19">'Water Heat Shares'!$B$4:$L$9</definedName>
    <definedName name="whshint">'Water Heat Shares'!$M$4:$W$9</definedName>
    <definedName name="woodc2mj">'Named Cells'!$B$16</definedName>
    <definedName name="woodef">'Named Cells'!$B$9</definedName>
    <definedName name="woodp2gj">'Named Cells'!$B$16</definedName>
    <definedName name="wprice">'Named Cells'!$B$13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60" i="75" l="1"/>
  <c r="I61" i="75"/>
  <c r="I62" i="75"/>
  <c r="I63" i="75"/>
  <c r="I64" i="75"/>
  <c r="I65" i="75"/>
  <c r="I66" i="75"/>
  <c r="I67" i="75"/>
  <c r="I68" i="75"/>
  <c r="I69" i="75"/>
  <c r="I70" i="75"/>
  <c r="I71" i="75"/>
  <c r="I72" i="75"/>
  <c r="I73" i="75"/>
  <c r="I74" i="75"/>
  <c r="I75" i="75"/>
  <c r="I76" i="75"/>
  <c r="I77" i="75"/>
  <c r="I78" i="75"/>
  <c r="I79" i="75"/>
  <c r="I80" i="75"/>
  <c r="I81" i="75"/>
  <c r="I82" i="75"/>
  <c r="I83" i="75"/>
  <c r="I84" i="75"/>
  <c r="I85" i="75"/>
  <c r="I86" i="75"/>
  <c r="I87" i="75"/>
  <c r="I88" i="75"/>
  <c r="I89" i="75"/>
  <c r="I90" i="75"/>
  <c r="I91" i="75"/>
  <c r="I92" i="75"/>
  <c r="I93" i="75"/>
  <c r="I94" i="75"/>
  <c r="I95" i="75"/>
  <c r="I96" i="75"/>
  <c r="I97" i="75"/>
  <c r="I98" i="75"/>
  <c r="I99" i="75"/>
  <c r="I100" i="75"/>
  <c r="I101" i="75"/>
  <c r="I102" i="75"/>
  <c r="I103" i="75"/>
  <c r="I104" i="75"/>
  <c r="I105" i="75"/>
  <c r="I106" i="75"/>
  <c r="I107" i="75"/>
  <c r="I108" i="75"/>
  <c r="I109" i="75"/>
  <c r="I110" i="75"/>
  <c r="I111" i="75"/>
  <c r="I112" i="75"/>
  <c r="I113" i="75"/>
  <c r="I114" i="75"/>
  <c r="I115" i="75"/>
  <c r="I116" i="75"/>
  <c r="I117" i="75"/>
  <c r="I118" i="75"/>
  <c r="I119" i="75"/>
  <c r="I120" i="75"/>
  <c r="I121" i="75"/>
  <c r="I122" i="75"/>
  <c r="I123" i="75"/>
  <c r="I124" i="75"/>
  <c r="I125" i="75"/>
  <c r="I126" i="75"/>
  <c r="I127" i="75"/>
  <c r="I128" i="75"/>
  <c r="I129" i="75"/>
  <c r="I130" i="75"/>
  <c r="I131" i="75"/>
  <c r="I132" i="75"/>
  <c r="I133" i="75"/>
  <c r="I134" i="75"/>
  <c r="I135" i="75"/>
  <c r="I136" i="75"/>
  <c r="I137" i="75"/>
  <c r="I138" i="75"/>
  <c r="I139" i="75"/>
  <c r="I140" i="75"/>
  <c r="I141" i="75"/>
  <c r="I142" i="75"/>
  <c r="I143" i="75"/>
  <c r="I144" i="75"/>
  <c r="I145" i="75"/>
  <c r="I146" i="75"/>
  <c r="I147" i="75"/>
  <c r="I148" i="75"/>
  <c r="I149" i="75"/>
  <c r="I150" i="75"/>
  <c r="I151" i="75"/>
  <c r="I152" i="75"/>
  <c r="I153" i="75"/>
  <c r="I54" i="75"/>
  <c r="I55" i="75"/>
  <c r="I56" i="75"/>
  <c r="I57" i="75"/>
  <c r="I58" i="75"/>
  <c r="I59" i="75"/>
  <c r="I27" i="75"/>
  <c r="K4" i="75" l="1"/>
  <c r="K5" i="75"/>
  <c r="M5" i="93"/>
  <c r="D4" i="93"/>
  <c r="H26" i="91"/>
  <c r="A18" i="93"/>
  <c r="A19" i="93"/>
  <c r="A20" i="93"/>
  <c r="A21" i="93"/>
  <c r="A22" i="93"/>
  <c r="A45" i="93" s="1"/>
  <c r="A23" i="93"/>
  <c r="A37" i="93" s="1"/>
  <c r="A24" i="93"/>
  <c r="A38" i="93" s="1"/>
  <c r="A25" i="93"/>
  <c r="A39" i="93" s="1"/>
  <c r="A26" i="93"/>
  <c r="A17" i="93"/>
  <c r="B17" i="93" s="1"/>
  <c r="B45" i="93" s="1"/>
  <c r="A46" i="93" l="1"/>
  <c r="A34" i="93"/>
  <c r="A36" i="93"/>
  <c r="A35" i="93"/>
  <c r="A33" i="93"/>
  <c r="A31" i="93"/>
  <c r="A32" i="93"/>
  <c r="A54" i="93" s="1"/>
  <c r="A40" i="93"/>
  <c r="B31" i="93"/>
  <c r="E17" i="93"/>
  <c r="E45" i="93" s="1"/>
  <c r="M17" i="93"/>
  <c r="M45" i="93" s="1"/>
  <c r="F17" i="93"/>
  <c r="F45" i="93" s="1"/>
  <c r="G17" i="93"/>
  <c r="G45" i="93" s="1"/>
  <c r="H17" i="93"/>
  <c r="H45" i="93" s="1"/>
  <c r="D17" i="93"/>
  <c r="D45" i="93" s="1"/>
  <c r="L17" i="93"/>
  <c r="L45" i="93" s="1"/>
  <c r="I17" i="93"/>
  <c r="I45" i="93" s="1"/>
  <c r="J17" i="93"/>
  <c r="J45" i="93" s="1"/>
  <c r="K17" i="93"/>
  <c r="K45" i="93" s="1"/>
  <c r="A53" i="93" l="1"/>
  <c r="K31" i="93"/>
  <c r="K53" i="93" s="1"/>
  <c r="B53" i="93"/>
  <c r="J31" i="93"/>
  <c r="J53" i="93" s="1"/>
  <c r="I31" i="93"/>
  <c r="I53" i="93" s="1"/>
  <c r="H31" i="93"/>
  <c r="H53" i="93" s="1"/>
  <c r="F31" i="93"/>
  <c r="F53" i="93" s="1"/>
  <c r="G31" i="93"/>
  <c r="G53" i="93" s="1"/>
  <c r="M31" i="93"/>
  <c r="M53" i="93" s="1"/>
  <c r="E31" i="93"/>
  <c r="E53" i="93" s="1"/>
  <c r="L31" i="93"/>
  <c r="L53" i="93" s="1"/>
  <c r="D31" i="93"/>
  <c r="D53" i="93" l="1"/>
  <c r="P4" i="91" l="1"/>
  <c r="B6" i="92" l="1"/>
  <c r="B7" i="92" s="1"/>
  <c r="B7" i="93"/>
  <c r="E4" i="93"/>
  <c r="F4" i="93" s="1"/>
  <c r="G4" i="93" s="1"/>
  <c r="H4" i="93" s="1"/>
  <c r="I4" i="93" s="1"/>
  <c r="M105" i="75"/>
  <c r="M106" i="75"/>
  <c r="M107" i="75"/>
  <c r="M108" i="75"/>
  <c r="M109" i="75"/>
  <c r="M110" i="75"/>
  <c r="M111" i="75"/>
  <c r="M112" i="75"/>
  <c r="M113" i="75"/>
  <c r="M114" i="75"/>
  <c r="M115" i="75"/>
  <c r="M116" i="75"/>
  <c r="M117" i="75"/>
  <c r="M118" i="75"/>
  <c r="M119" i="75"/>
  <c r="M120" i="75"/>
  <c r="M121" i="75"/>
  <c r="M122" i="75"/>
  <c r="M123" i="75"/>
  <c r="M124" i="75"/>
  <c r="M125" i="75"/>
  <c r="M126" i="75"/>
  <c r="M127" i="75"/>
  <c r="M128" i="75"/>
  <c r="M129" i="75"/>
  <c r="M130" i="75"/>
  <c r="M131" i="75"/>
  <c r="M132" i="75"/>
  <c r="M133" i="75"/>
  <c r="M134" i="75"/>
  <c r="M135" i="75"/>
  <c r="M136" i="75"/>
  <c r="M137" i="75"/>
  <c r="M138" i="75"/>
  <c r="M139" i="75"/>
  <c r="M140" i="75"/>
  <c r="M141" i="75"/>
  <c r="M142" i="75"/>
  <c r="M143" i="75"/>
  <c r="M144" i="75"/>
  <c r="M145" i="75"/>
  <c r="M146" i="75"/>
  <c r="M147" i="75"/>
  <c r="M148" i="75"/>
  <c r="M149" i="75"/>
  <c r="M150" i="75"/>
  <c r="M151" i="75"/>
  <c r="M152" i="75"/>
  <c r="M153" i="75"/>
  <c r="B3" i="92"/>
  <c r="D5" i="91"/>
  <c r="J20" i="67" s="1"/>
  <c r="J30" i="67" s="1"/>
  <c r="U2" i="75"/>
  <c r="S59" i="75" s="1"/>
  <c r="C5" i="91"/>
  <c r="N5" i="72"/>
  <c r="N9" i="72" s="1"/>
  <c r="N108" i="75" s="1"/>
  <c r="Q5" i="72"/>
  <c r="Q8" i="72" s="1"/>
  <c r="N122" i="75" s="1"/>
  <c r="N104" i="75"/>
  <c r="M104" i="75"/>
  <c r="N8" i="72"/>
  <c r="N107" i="75" s="1"/>
  <c r="S5" i="72"/>
  <c r="S9" i="72" s="1"/>
  <c r="S5" i="71"/>
  <c r="S6" i="71" s="1"/>
  <c r="N80" i="75" s="1"/>
  <c r="S6" i="75"/>
  <c r="S7" i="75"/>
  <c r="C31" i="67"/>
  <c r="D31" i="67"/>
  <c r="E31" i="67"/>
  <c r="F31" i="67"/>
  <c r="G31" i="67"/>
  <c r="H31" i="67"/>
  <c r="I31" i="67"/>
  <c r="J31" i="67"/>
  <c r="K31" i="67"/>
  <c r="L31" i="67"/>
  <c r="H20" i="67"/>
  <c r="H30" i="67" s="1"/>
  <c r="B20" i="67"/>
  <c r="H19" i="67"/>
  <c r="H29" i="67" s="1"/>
  <c r="H18" i="67"/>
  <c r="H28" i="67" s="1"/>
  <c r="H17" i="67"/>
  <c r="H27" i="67" s="1"/>
  <c r="H16" i="67"/>
  <c r="H26" i="67" s="1"/>
  <c r="L15" i="67"/>
  <c r="K15" i="67"/>
  <c r="J15" i="67"/>
  <c r="I15" i="67"/>
  <c r="H15" i="67"/>
  <c r="G15" i="67"/>
  <c r="F15" i="67"/>
  <c r="E15" i="67"/>
  <c r="D15" i="67"/>
  <c r="C15" i="67"/>
  <c r="H18" i="91"/>
  <c r="H19" i="91"/>
  <c r="H20" i="91"/>
  <c r="H21" i="91"/>
  <c r="H22" i="91"/>
  <c r="H23" i="91"/>
  <c r="H24" i="91"/>
  <c r="H25" i="91"/>
  <c r="H17" i="91"/>
  <c r="L17" i="91" s="1"/>
  <c r="I5" i="91"/>
  <c r="I6" i="91" s="1"/>
  <c r="H5" i="91"/>
  <c r="H6" i="91" s="1"/>
  <c r="H7" i="91" s="1"/>
  <c r="H8" i="91" s="1"/>
  <c r="H9" i="91" s="1"/>
  <c r="H10" i="91" s="1"/>
  <c r="H11" i="91" s="1"/>
  <c r="H12" i="91" s="1"/>
  <c r="K18" i="67" s="1"/>
  <c r="K28" i="67" s="1"/>
  <c r="G5" i="91"/>
  <c r="G6" i="91" s="1"/>
  <c r="G7" i="91" s="1"/>
  <c r="G8" i="91" s="1"/>
  <c r="G9" i="91" s="1"/>
  <c r="G10" i="91" s="1"/>
  <c r="G11" i="91" s="1"/>
  <c r="G12" i="91" s="1"/>
  <c r="K19" i="67" s="1"/>
  <c r="K29" i="67" s="1"/>
  <c r="F5" i="91"/>
  <c r="F6" i="91" s="1"/>
  <c r="F7" i="91" s="1"/>
  <c r="F8" i="91" s="1"/>
  <c r="F9" i="91" s="1"/>
  <c r="F10" i="91" s="1"/>
  <c r="F11" i="91" s="1"/>
  <c r="F12" i="91" s="1"/>
  <c r="F13" i="91" s="1"/>
  <c r="I17" i="67" s="1"/>
  <c r="I27" i="67" s="1"/>
  <c r="N5" i="91"/>
  <c r="N6" i="91" s="1"/>
  <c r="N7" i="91" s="1"/>
  <c r="N8" i="91" s="1"/>
  <c r="N9" i="91" s="1"/>
  <c r="N10" i="91" s="1"/>
  <c r="N11" i="91" s="1"/>
  <c r="N12" i="91" s="1"/>
  <c r="N13" i="91" s="1"/>
  <c r="O5" i="91"/>
  <c r="N6" i="72" l="1"/>
  <c r="N105" i="75" s="1"/>
  <c r="N7" i="72"/>
  <c r="N106" i="75" s="1"/>
  <c r="N119" i="75"/>
  <c r="C6" i="91"/>
  <c r="B33" i="93" s="1"/>
  <c r="B18" i="93"/>
  <c r="B32" i="93"/>
  <c r="Q9" i="72"/>
  <c r="N123" i="75" s="1"/>
  <c r="S54" i="75"/>
  <c r="M17" i="91"/>
  <c r="C19" i="67"/>
  <c r="C29" i="67" s="1"/>
  <c r="D19" i="67"/>
  <c r="D29" i="67" s="1"/>
  <c r="G13" i="91"/>
  <c r="I19" i="67" s="1"/>
  <c r="I29" i="67" s="1"/>
  <c r="L19" i="67"/>
  <c r="L29" i="67" s="1"/>
  <c r="U5" i="72"/>
  <c r="U6" i="72" s="1"/>
  <c r="N140" i="75" s="1"/>
  <c r="J4" i="93"/>
  <c r="K4" i="93" s="1"/>
  <c r="L4" i="93" s="1"/>
  <c r="P5" i="91"/>
  <c r="L18" i="91"/>
  <c r="O6" i="91"/>
  <c r="P6" i="91" s="1"/>
  <c r="F19" i="67"/>
  <c r="F29" i="67" s="1"/>
  <c r="S7" i="72"/>
  <c r="G18" i="67"/>
  <c r="G28" i="67" s="1"/>
  <c r="U5" i="71"/>
  <c r="J17" i="67"/>
  <c r="J27" i="67" s="1"/>
  <c r="J19" i="67"/>
  <c r="J29" i="67" s="1"/>
  <c r="S8" i="71"/>
  <c r="N82" i="75" s="1"/>
  <c r="H13" i="91"/>
  <c r="I18" i="67" s="1"/>
  <c r="I28" i="67" s="1"/>
  <c r="E19" i="67"/>
  <c r="E29" i="67" s="1"/>
  <c r="G19" i="67"/>
  <c r="G29" i="67" s="1"/>
  <c r="D6" i="91"/>
  <c r="J18" i="67"/>
  <c r="J28" i="67" s="1"/>
  <c r="C18" i="67"/>
  <c r="C28" i="67" s="1"/>
  <c r="D18" i="67"/>
  <c r="D28" i="67" s="1"/>
  <c r="L18" i="67"/>
  <c r="L28" i="67" s="1"/>
  <c r="E18" i="67"/>
  <c r="E28" i="67" s="1"/>
  <c r="F18" i="67"/>
  <c r="F28" i="67" s="1"/>
  <c r="S6" i="72"/>
  <c r="S9" i="71"/>
  <c r="N83" i="75" s="1"/>
  <c r="S8" i="72"/>
  <c r="N79" i="75"/>
  <c r="S7" i="71"/>
  <c r="N81" i="75" s="1"/>
  <c r="Q6" i="72"/>
  <c r="N120" i="75" s="1"/>
  <c r="Q7" i="72"/>
  <c r="N121" i="75" s="1"/>
  <c r="H32" i="67"/>
  <c r="C17" i="67"/>
  <c r="C27" i="67" s="1"/>
  <c r="K17" i="67"/>
  <c r="K27" i="67" s="1"/>
  <c r="D17" i="67"/>
  <c r="D27" i="67" s="1"/>
  <c r="L17" i="67"/>
  <c r="L27" i="67" s="1"/>
  <c r="E17" i="67"/>
  <c r="E27" i="67" s="1"/>
  <c r="F17" i="67"/>
  <c r="F27" i="67" s="1"/>
  <c r="G17" i="67"/>
  <c r="G27" i="67" s="1"/>
  <c r="I7" i="91"/>
  <c r="F16" i="67"/>
  <c r="F26" i="67" s="1"/>
  <c r="J16" i="67"/>
  <c r="J26" i="67" s="1"/>
  <c r="M55" i="75"/>
  <c r="M56" i="75"/>
  <c r="M57" i="75"/>
  <c r="M58" i="75"/>
  <c r="M59" i="75"/>
  <c r="M60" i="75"/>
  <c r="M61" i="75"/>
  <c r="M62" i="75"/>
  <c r="M63" i="75"/>
  <c r="M64" i="75"/>
  <c r="M65" i="75"/>
  <c r="M66" i="75"/>
  <c r="M67" i="75"/>
  <c r="M68" i="75"/>
  <c r="M69" i="75"/>
  <c r="M70" i="75"/>
  <c r="M71" i="75"/>
  <c r="M72" i="75"/>
  <c r="M73" i="75"/>
  <c r="M74" i="75"/>
  <c r="M75" i="75"/>
  <c r="M76" i="75"/>
  <c r="M77" i="75"/>
  <c r="M78" i="75"/>
  <c r="M79" i="75"/>
  <c r="M80" i="75"/>
  <c r="M81" i="75"/>
  <c r="M82" i="75"/>
  <c r="M83" i="75"/>
  <c r="M84" i="75"/>
  <c r="M85" i="75"/>
  <c r="M86" i="75"/>
  <c r="M87" i="75"/>
  <c r="M88" i="75"/>
  <c r="M89" i="75"/>
  <c r="M90" i="75"/>
  <c r="M91" i="75"/>
  <c r="M92" i="75"/>
  <c r="M93" i="75"/>
  <c r="M94" i="75"/>
  <c r="M95" i="75"/>
  <c r="M96" i="75"/>
  <c r="M97" i="75"/>
  <c r="M98" i="75"/>
  <c r="M99" i="75"/>
  <c r="M100" i="75"/>
  <c r="M101" i="75"/>
  <c r="M102" i="75"/>
  <c r="M103" i="75"/>
  <c r="M54" i="75"/>
  <c r="M5" i="75"/>
  <c r="M6" i="75"/>
  <c r="M7" i="75"/>
  <c r="M8" i="75"/>
  <c r="M9" i="75"/>
  <c r="M10" i="75"/>
  <c r="M11" i="75"/>
  <c r="M12" i="75"/>
  <c r="M13" i="75"/>
  <c r="M14" i="75"/>
  <c r="M15" i="75"/>
  <c r="M16" i="75"/>
  <c r="M17" i="75"/>
  <c r="M18" i="75"/>
  <c r="M19" i="75"/>
  <c r="M20" i="75"/>
  <c r="M21" i="75"/>
  <c r="M22" i="75"/>
  <c r="M23" i="75"/>
  <c r="M4" i="75"/>
  <c r="I6" i="75"/>
  <c r="K6" i="75"/>
  <c r="I7" i="75"/>
  <c r="K7" i="75"/>
  <c r="C4" i="57"/>
  <c r="C5" i="57"/>
  <c r="C6" i="57"/>
  <c r="C7" i="57"/>
  <c r="C8" i="57"/>
  <c r="C9" i="57"/>
  <c r="C10" i="57"/>
  <c r="C11" i="57"/>
  <c r="C12" i="57"/>
  <c r="C3" i="57"/>
  <c r="L19" i="91" l="1"/>
  <c r="M19" i="91" s="1"/>
  <c r="C7" i="91"/>
  <c r="B34" i="93" s="1"/>
  <c r="M34" i="93" s="1"/>
  <c r="M56" i="93" s="1"/>
  <c r="Q5" i="71"/>
  <c r="Q9" i="71" s="1"/>
  <c r="N73" i="75" s="1"/>
  <c r="B19" i="93"/>
  <c r="B47" i="93" s="1"/>
  <c r="I32" i="93"/>
  <c r="I54" i="93" s="1"/>
  <c r="J32" i="93"/>
  <c r="J54" i="93" s="1"/>
  <c r="D32" i="93"/>
  <c r="H32" i="93"/>
  <c r="H54" i="93" s="1"/>
  <c r="L32" i="93"/>
  <c r="L54" i="93" s="1"/>
  <c r="F32" i="93"/>
  <c r="F54" i="93" s="1"/>
  <c r="M32" i="93"/>
  <c r="M54" i="93" s="1"/>
  <c r="G32" i="93"/>
  <c r="G54" i="93" s="1"/>
  <c r="E32" i="93"/>
  <c r="E54" i="93" s="1"/>
  <c r="K32" i="93"/>
  <c r="K54" i="93" s="1"/>
  <c r="B54" i="93"/>
  <c r="B46" i="93"/>
  <c r="F18" i="93"/>
  <c r="F46" i="93" s="1"/>
  <c r="D18" i="93"/>
  <c r="D46" i="93" s="1"/>
  <c r="H18" i="93"/>
  <c r="H46" i="93" s="1"/>
  <c r="E18" i="93"/>
  <c r="E46" i="93" s="1"/>
  <c r="M18" i="93"/>
  <c r="M46" i="93" s="1"/>
  <c r="G18" i="93"/>
  <c r="G46" i="93" s="1"/>
  <c r="K18" i="93"/>
  <c r="K46" i="93" s="1"/>
  <c r="L18" i="93"/>
  <c r="L46" i="93" s="1"/>
  <c r="I18" i="93"/>
  <c r="I46" i="93" s="1"/>
  <c r="J18" i="93"/>
  <c r="J46" i="93" s="1"/>
  <c r="K33" i="93"/>
  <c r="K55" i="93" s="1"/>
  <c r="M33" i="93"/>
  <c r="M55" i="93" s="1"/>
  <c r="G33" i="93"/>
  <c r="G55" i="93" s="1"/>
  <c r="I33" i="93"/>
  <c r="I55" i="93" s="1"/>
  <c r="F33" i="93"/>
  <c r="F55" i="93" s="1"/>
  <c r="B55" i="93"/>
  <c r="E33" i="93"/>
  <c r="E55" i="93" s="1"/>
  <c r="J33" i="93"/>
  <c r="J55" i="93" s="1"/>
  <c r="H33" i="93"/>
  <c r="H55" i="93" s="1"/>
  <c r="L33" i="93"/>
  <c r="L55" i="93" s="1"/>
  <c r="D33" i="93"/>
  <c r="P5" i="71"/>
  <c r="P7" i="71" s="1"/>
  <c r="N66" i="75" s="1"/>
  <c r="B20" i="93"/>
  <c r="B48" i="93" s="1"/>
  <c r="L19" i="93"/>
  <c r="L47" i="93" s="1"/>
  <c r="U9" i="72"/>
  <c r="N143" i="75" s="1"/>
  <c r="M18" i="91"/>
  <c r="U7" i="72"/>
  <c r="N141" i="75" s="1"/>
  <c r="U8" i="72"/>
  <c r="N142" i="75" s="1"/>
  <c r="N139" i="75"/>
  <c r="M4" i="93"/>
  <c r="N69" i="75"/>
  <c r="C8" i="91"/>
  <c r="B35" i="93" s="1"/>
  <c r="L20" i="91"/>
  <c r="P5" i="72"/>
  <c r="N114" i="75" s="1"/>
  <c r="O7" i="91"/>
  <c r="P7" i="91" s="1"/>
  <c r="Q6" i="71"/>
  <c r="N70" i="75" s="1"/>
  <c r="U6" i="71"/>
  <c r="N90" i="75" s="1"/>
  <c r="U8" i="71"/>
  <c r="N92" i="75" s="1"/>
  <c r="U7" i="71"/>
  <c r="N91" i="75" s="1"/>
  <c r="U9" i="71"/>
  <c r="N93" i="75" s="1"/>
  <c r="N89" i="75"/>
  <c r="J32" i="67"/>
  <c r="D7" i="91"/>
  <c r="F20" i="67"/>
  <c r="F30" i="67" s="1"/>
  <c r="F32" i="67" s="1"/>
  <c r="I8" i="91"/>
  <c r="E16" i="67"/>
  <c r="E26" i="67" s="1"/>
  <c r="L7" i="75"/>
  <c r="L6" i="75"/>
  <c r="F7" i="75"/>
  <c r="F6" i="75"/>
  <c r="U104" i="75"/>
  <c r="U105" i="75"/>
  <c r="U106" i="75"/>
  <c r="U107" i="75"/>
  <c r="U108" i="75"/>
  <c r="U109" i="75"/>
  <c r="U110" i="75"/>
  <c r="U111" i="75"/>
  <c r="U112" i="75"/>
  <c r="U113" i="75"/>
  <c r="U114" i="75"/>
  <c r="U115" i="75"/>
  <c r="U116" i="75"/>
  <c r="U117" i="75"/>
  <c r="U118" i="75"/>
  <c r="U119" i="75"/>
  <c r="U120" i="75"/>
  <c r="U121" i="75"/>
  <c r="U122" i="75"/>
  <c r="U123" i="75"/>
  <c r="U124" i="75"/>
  <c r="U125" i="75"/>
  <c r="U126" i="75"/>
  <c r="U127" i="75"/>
  <c r="U128" i="75"/>
  <c r="U129" i="75"/>
  <c r="U130" i="75"/>
  <c r="U131" i="75"/>
  <c r="U132" i="75"/>
  <c r="U133" i="75"/>
  <c r="U134" i="75"/>
  <c r="U135" i="75"/>
  <c r="U136" i="75"/>
  <c r="U137" i="75"/>
  <c r="U138" i="75"/>
  <c r="U139" i="75"/>
  <c r="U140" i="75"/>
  <c r="U141" i="75"/>
  <c r="U142" i="75"/>
  <c r="U143" i="75"/>
  <c r="U144" i="75"/>
  <c r="U145" i="75"/>
  <c r="U146" i="75"/>
  <c r="U147" i="75"/>
  <c r="U148" i="75"/>
  <c r="U149" i="75"/>
  <c r="U150" i="75"/>
  <c r="U151" i="75"/>
  <c r="U152" i="75"/>
  <c r="U153" i="75"/>
  <c r="I19" i="93" l="1"/>
  <c r="I47" i="93" s="1"/>
  <c r="Q8" i="71"/>
  <c r="N72" i="75" s="1"/>
  <c r="Q7" i="71"/>
  <c r="N71" i="75" s="1"/>
  <c r="H19" i="93"/>
  <c r="H47" i="93" s="1"/>
  <c r="G19" i="93"/>
  <c r="G47" i="93" s="1"/>
  <c r="D19" i="93"/>
  <c r="D47" i="93" s="1"/>
  <c r="F19" i="93"/>
  <c r="F47" i="93" s="1"/>
  <c r="M19" i="93"/>
  <c r="M47" i="93" s="1"/>
  <c r="E19" i="93"/>
  <c r="E47" i="93" s="1"/>
  <c r="G34" i="93"/>
  <c r="G56" i="93" s="1"/>
  <c r="J19" i="93"/>
  <c r="J47" i="93" s="1"/>
  <c r="K19" i="93"/>
  <c r="K47" i="93" s="1"/>
  <c r="F34" i="93"/>
  <c r="F56" i="93" s="1"/>
  <c r="L34" i="93"/>
  <c r="L56" i="93" s="1"/>
  <c r="J34" i="93"/>
  <c r="J56" i="93" s="1"/>
  <c r="H34" i="93"/>
  <c r="H56" i="93" s="1"/>
  <c r="E34" i="93"/>
  <c r="E56" i="93" s="1"/>
  <c r="K34" i="93"/>
  <c r="K56" i="93" s="1"/>
  <c r="B56" i="93"/>
  <c r="D34" i="93"/>
  <c r="I34" i="93"/>
  <c r="I56" i="93" s="1"/>
  <c r="D55" i="93"/>
  <c r="D54" i="93"/>
  <c r="N64" i="75"/>
  <c r="P8" i="71"/>
  <c r="N67" i="75" s="1"/>
  <c r="F35" i="93"/>
  <c r="F57" i="93" s="1"/>
  <c r="J35" i="93"/>
  <c r="J57" i="93" s="1"/>
  <c r="G35" i="93"/>
  <c r="G57" i="93" s="1"/>
  <c r="M35" i="93"/>
  <c r="M57" i="93" s="1"/>
  <c r="L35" i="93"/>
  <c r="L57" i="93" s="1"/>
  <c r="I35" i="93"/>
  <c r="I57" i="93" s="1"/>
  <c r="D35" i="93"/>
  <c r="K35" i="93"/>
  <c r="K57" i="93" s="1"/>
  <c r="E35" i="93"/>
  <c r="E57" i="93" s="1"/>
  <c r="B57" i="93"/>
  <c r="H35" i="93"/>
  <c r="H57" i="93" s="1"/>
  <c r="P9" i="71"/>
  <c r="N68" i="75" s="1"/>
  <c r="P6" i="71"/>
  <c r="N65" i="75" s="1"/>
  <c r="L21" i="91"/>
  <c r="B21" i="93"/>
  <c r="B49" i="93" s="1"/>
  <c r="J20" i="93"/>
  <c r="J48" i="93" s="1"/>
  <c r="K20" i="93"/>
  <c r="K48" i="93" s="1"/>
  <c r="I20" i="93"/>
  <c r="I48" i="93" s="1"/>
  <c r="L20" i="93"/>
  <c r="L48" i="93" s="1"/>
  <c r="E20" i="93"/>
  <c r="E48" i="93" s="1"/>
  <c r="M20" i="93"/>
  <c r="M48" i="93" s="1"/>
  <c r="F20" i="93"/>
  <c r="F48" i="93" s="1"/>
  <c r="D20" i="93"/>
  <c r="D48" i="93" s="1"/>
  <c r="G20" i="93"/>
  <c r="G48" i="93" s="1"/>
  <c r="H20" i="93"/>
  <c r="H48" i="93" s="1"/>
  <c r="C9" i="91"/>
  <c r="B36" i="93" s="1"/>
  <c r="M20" i="91"/>
  <c r="P6" i="72"/>
  <c r="N115" i="75" s="1"/>
  <c r="P9" i="72"/>
  <c r="N118" i="75" s="1"/>
  <c r="P7" i="72"/>
  <c r="N116" i="75" s="1"/>
  <c r="P8" i="72"/>
  <c r="N117" i="75" s="1"/>
  <c r="N5" i="71"/>
  <c r="N6" i="71" s="1"/>
  <c r="N55" i="75" s="1"/>
  <c r="N4" i="93"/>
  <c r="O8" i="91"/>
  <c r="P8" i="91" s="1"/>
  <c r="D8" i="91"/>
  <c r="E20" i="67"/>
  <c r="E30" i="67" s="1"/>
  <c r="E32" i="67" s="1"/>
  <c r="O5" i="71"/>
  <c r="L22" i="91"/>
  <c r="I9" i="91"/>
  <c r="C16" i="67"/>
  <c r="C26" i="67" s="1"/>
  <c r="U55" i="75"/>
  <c r="U56" i="75"/>
  <c r="U57" i="75"/>
  <c r="U58" i="75"/>
  <c r="U59" i="75"/>
  <c r="U60" i="75"/>
  <c r="U61" i="75"/>
  <c r="U62" i="75"/>
  <c r="U63" i="75"/>
  <c r="U64" i="75"/>
  <c r="U65" i="75"/>
  <c r="U66" i="75"/>
  <c r="U67" i="75"/>
  <c r="U68" i="75"/>
  <c r="U69" i="75"/>
  <c r="U70" i="75"/>
  <c r="U71" i="75"/>
  <c r="U72" i="75"/>
  <c r="U73" i="75"/>
  <c r="U74" i="75"/>
  <c r="U75" i="75"/>
  <c r="U76" i="75"/>
  <c r="U77" i="75"/>
  <c r="U78" i="75"/>
  <c r="U79" i="75"/>
  <c r="U80" i="75"/>
  <c r="U81" i="75"/>
  <c r="U82" i="75"/>
  <c r="U83" i="75"/>
  <c r="U84" i="75"/>
  <c r="U85" i="75"/>
  <c r="U86" i="75"/>
  <c r="U87" i="75"/>
  <c r="U88" i="75"/>
  <c r="U89" i="75"/>
  <c r="U90" i="75"/>
  <c r="U91" i="75"/>
  <c r="U92" i="75"/>
  <c r="U93" i="75"/>
  <c r="U94" i="75"/>
  <c r="U95" i="75"/>
  <c r="U96" i="75"/>
  <c r="U97" i="75"/>
  <c r="U98" i="75"/>
  <c r="U99" i="75"/>
  <c r="U100" i="75"/>
  <c r="U101" i="75"/>
  <c r="U102" i="75"/>
  <c r="U103" i="75"/>
  <c r="U54" i="75"/>
  <c r="D56" i="93" l="1"/>
  <c r="E36" i="93"/>
  <c r="I36" i="93"/>
  <c r="K36" i="93"/>
  <c r="G36" i="93"/>
  <c r="D36" i="93"/>
  <c r="L36" i="93"/>
  <c r="J36" i="93"/>
  <c r="M36" i="93"/>
  <c r="H36" i="93"/>
  <c r="F36" i="93"/>
  <c r="M21" i="91"/>
  <c r="D57" i="93"/>
  <c r="O5" i="72"/>
  <c r="N109" i="75" s="1"/>
  <c r="B22" i="93"/>
  <c r="I21" i="93"/>
  <c r="I49" i="93" s="1"/>
  <c r="J21" i="93"/>
  <c r="J49" i="93" s="1"/>
  <c r="K21" i="93"/>
  <c r="K49" i="93" s="1"/>
  <c r="L21" i="93"/>
  <c r="L49" i="93" s="1"/>
  <c r="E21" i="93"/>
  <c r="E49" i="93" s="1"/>
  <c r="M21" i="93"/>
  <c r="M49" i="93" s="1"/>
  <c r="F21" i="93"/>
  <c r="F49" i="93" s="1"/>
  <c r="D21" i="93"/>
  <c r="D49" i="93" s="1"/>
  <c r="G21" i="93"/>
  <c r="G49" i="93" s="1"/>
  <c r="H21" i="93"/>
  <c r="H49" i="93" s="1"/>
  <c r="C10" i="91"/>
  <c r="N54" i="75"/>
  <c r="N9" i="71"/>
  <c r="N58" i="75" s="1"/>
  <c r="N8" i="71"/>
  <c r="N57" i="75" s="1"/>
  <c r="N7" i="71"/>
  <c r="N56" i="75" s="1"/>
  <c r="O4" i="93"/>
  <c r="O9" i="91"/>
  <c r="P9" i="91" s="1"/>
  <c r="M22" i="91" s="1"/>
  <c r="C20" i="67"/>
  <c r="C30" i="67" s="1"/>
  <c r="C32" i="67" s="1"/>
  <c r="D9" i="91"/>
  <c r="L23" i="91"/>
  <c r="N59" i="75"/>
  <c r="O9" i="71"/>
  <c r="N63" i="75" s="1"/>
  <c r="O8" i="71"/>
  <c r="N62" i="75" s="1"/>
  <c r="O6" i="71"/>
  <c r="N60" i="75" s="1"/>
  <c r="O7" i="71"/>
  <c r="N61" i="75" s="1"/>
  <c r="I10" i="91"/>
  <c r="D16" i="67"/>
  <c r="D26" i="67" s="1"/>
  <c r="O7" i="72" l="1"/>
  <c r="N111" i="75" s="1"/>
  <c r="B23" i="93"/>
  <c r="I23" i="93" s="1"/>
  <c r="B37" i="93"/>
  <c r="O6" i="72"/>
  <c r="N110" i="75" s="1"/>
  <c r="O8" i="72"/>
  <c r="N112" i="75" s="1"/>
  <c r="O9" i="72"/>
  <c r="N113" i="75" s="1"/>
  <c r="C11" i="91"/>
  <c r="R5" i="71"/>
  <c r="R9" i="71" s="1"/>
  <c r="N78" i="75" s="1"/>
  <c r="R5" i="72"/>
  <c r="R8" i="72" s="1"/>
  <c r="H22" i="93"/>
  <c r="I22" i="93"/>
  <c r="J22" i="93"/>
  <c r="K22" i="93"/>
  <c r="L22" i="93"/>
  <c r="E22" i="93"/>
  <c r="M22" i="93"/>
  <c r="F22" i="93"/>
  <c r="D22" i="93"/>
  <c r="G22" i="93"/>
  <c r="P4" i="93"/>
  <c r="O10" i="91"/>
  <c r="P10" i="91" s="1"/>
  <c r="M23" i="91" s="1"/>
  <c r="J7" i="75"/>
  <c r="J6" i="75"/>
  <c r="D10" i="91"/>
  <c r="D20" i="67"/>
  <c r="D30" i="67" s="1"/>
  <c r="D32" i="67" s="1"/>
  <c r="W5" i="71"/>
  <c r="N74" i="75"/>
  <c r="I11" i="91"/>
  <c r="G16" i="67"/>
  <c r="G26" i="67" s="1"/>
  <c r="G23" i="93" l="1"/>
  <c r="M23" i="93"/>
  <c r="R8" i="71"/>
  <c r="N77" i="75" s="1"/>
  <c r="N129" i="75"/>
  <c r="E23" i="93"/>
  <c r="R7" i="72"/>
  <c r="N131" i="75" s="1"/>
  <c r="L23" i="93"/>
  <c r="R6" i="72"/>
  <c r="N130" i="75" s="1"/>
  <c r="F23" i="93"/>
  <c r="R7" i="71"/>
  <c r="N76" i="75" s="1"/>
  <c r="R6" i="71"/>
  <c r="N75" i="75" s="1"/>
  <c r="K23" i="93"/>
  <c r="G37" i="93"/>
  <c r="H37" i="93"/>
  <c r="F37" i="93"/>
  <c r="L37" i="93"/>
  <c r="K37" i="93"/>
  <c r="E37" i="93"/>
  <c r="J37" i="93"/>
  <c r="M37" i="93"/>
  <c r="I37" i="93"/>
  <c r="D37" i="93"/>
  <c r="J23" i="93"/>
  <c r="B24" i="93"/>
  <c r="M24" i="93" s="1"/>
  <c r="B38" i="93"/>
  <c r="R9" i="72"/>
  <c r="N133" i="75" s="1"/>
  <c r="N124" i="75"/>
  <c r="D23" i="93"/>
  <c r="H23" i="93"/>
  <c r="W5" i="72"/>
  <c r="N149" i="75" s="1"/>
  <c r="L24" i="91"/>
  <c r="C12" i="91"/>
  <c r="L25" i="91" s="1"/>
  <c r="Q4" i="93"/>
  <c r="N127" i="75"/>
  <c r="N132" i="75"/>
  <c r="O11" i="91"/>
  <c r="P11" i="91" s="1"/>
  <c r="D11" i="91"/>
  <c r="G20" i="67"/>
  <c r="G30" i="67" s="1"/>
  <c r="G32" i="67" s="1"/>
  <c r="W9" i="71"/>
  <c r="N103" i="75" s="1"/>
  <c r="N99" i="75"/>
  <c r="W7" i="71"/>
  <c r="N101" i="75" s="1"/>
  <c r="W6" i="71"/>
  <c r="N100" i="75" s="1"/>
  <c r="W8" i="71"/>
  <c r="N102" i="75" s="1"/>
  <c r="I12" i="91"/>
  <c r="L16" i="67"/>
  <c r="L26" i="67" s="1"/>
  <c r="W7" i="72" l="1"/>
  <c r="N151" i="75" s="1"/>
  <c r="W6" i="72"/>
  <c r="N150" i="75" s="1"/>
  <c r="W8" i="72"/>
  <c r="N152" i="75" s="1"/>
  <c r="W9" i="72"/>
  <c r="N153" i="75" s="1"/>
  <c r="N125" i="75"/>
  <c r="N126" i="75"/>
  <c r="N128" i="75"/>
  <c r="G24" i="93"/>
  <c r="F24" i="93"/>
  <c r="E24" i="93"/>
  <c r="K24" i="93"/>
  <c r="V5" i="72"/>
  <c r="N144" i="75" s="1"/>
  <c r="J24" i="93"/>
  <c r="C13" i="91"/>
  <c r="E38" i="93"/>
  <c r="F38" i="93"/>
  <c r="J38" i="93"/>
  <c r="G38" i="93"/>
  <c r="L38" i="93"/>
  <c r="K38" i="93"/>
  <c r="M38" i="93"/>
  <c r="D38" i="93"/>
  <c r="H38" i="93"/>
  <c r="I38" i="93"/>
  <c r="B25" i="93"/>
  <c r="I25" i="93" s="1"/>
  <c r="B39" i="93"/>
  <c r="I24" i="93"/>
  <c r="M24" i="91"/>
  <c r="H24" i="93"/>
  <c r="V5" i="71"/>
  <c r="V8" i="71" s="1"/>
  <c r="N97" i="75" s="1"/>
  <c r="L24" i="93"/>
  <c r="D24" i="93"/>
  <c r="R4" i="93"/>
  <c r="O12" i="91"/>
  <c r="P12" i="91" s="1"/>
  <c r="M25" i="91" s="1"/>
  <c r="L20" i="67"/>
  <c r="L30" i="67" s="1"/>
  <c r="L32" i="67" s="1"/>
  <c r="D12" i="91"/>
  <c r="I13" i="91"/>
  <c r="I16" i="67" s="1"/>
  <c r="I26" i="67" s="1"/>
  <c r="K16" i="67"/>
  <c r="K26" i="67" s="1"/>
  <c r="N94" i="75" l="1"/>
  <c r="L25" i="93"/>
  <c r="V6" i="72"/>
  <c r="N145" i="75" s="1"/>
  <c r="V7" i="72"/>
  <c r="N146" i="75" s="1"/>
  <c r="V7" i="71"/>
  <c r="N96" i="75" s="1"/>
  <c r="H25" i="93"/>
  <c r="V8" i="72"/>
  <c r="N147" i="75" s="1"/>
  <c r="G25" i="93"/>
  <c r="V9" i="72"/>
  <c r="N148" i="75" s="1"/>
  <c r="B26" i="93"/>
  <c r="L26" i="91"/>
  <c r="B40" i="93"/>
  <c r="D25" i="93"/>
  <c r="E39" i="93"/>
  <c r="I39" i="93"/>
  <c r="L39" i="93"/>
  <c r="F39" i="93"/>
  <c r="M39" i="93"/>
  <c r="K39" i="93"/>
  <c r="D39" i="93"/>
  <c r="J39" i="93"/>
  <c r="G39" i="93"/>
  <c r="H39" i="93"/>
  <c r="K25" i="93"/>
  <c r="M25" i="93"/>
  <c r="F25" i="93"/>
  <c r="V6" i="71"/>
  <c r="N95" i="75" s="1"/>
  <c r="E25" i="93"/>
  <c r="V9" i="71"/>
  <c r="N98" i="75" s="1"/>
  <c r="T5" i="71"/>
  <c r="T9" i="71" s="1"/>
  <c r="N88" i="75" s="1"/>
  <c r="T5" i="72"/>
  <c r="N134" i="75" s="1"/>
  <c r="J25" i="93"/>
  <c r="S4" i="93"/>
  <c r="O13" i="91"/>
  <c r="P13" i="91" s="1"/>
  <c r="K20" i="67"/>
  <c r="K30" i="67" s="1"/>
  <c r="K32" i="67" s="1"/>
  <c r="D13" i="91"/>
  <c r="I20" i="67" s="1"/>
  <c r="I30" i="67" s="1"/>
  <c r="I32" i="67" s="1"/>
  <c r="S44" i="75"/>
  <c r="J44" i="75" s="1"/>
  <c r="S45" i="75"/>
  <c r="J45" i="75" s="1"/>
  <c r="S46" i="75"/>
  <c r="J46" i="75" s="1"/>
  <c r="S47" i="75"/>
  <c r="J47" i="75" s="1"/>
  <c r="S48" i="75"/>
  <c r="J48" i="75" s="1"/>
  <c r="S49" i="75"/>
  <c r="J49" i="75" s="1"/>
  <c r="S50" i="75"/>
  <c r="S51" i="75"/>
  <c r="J51" i="75" s="1"/>
  <c r="S52" i="75"/>
  <c r="J52" i="75" s="1"/>
  <c r="S53" i="75"/>
  <c r="J53" i="75" s="1"/>
  <c r="J54" i="75"/>
  <c r="T7" i="71" l="1"/>
  <c r="N86" i="75" s="1"/>
  <c r="T6" i="71"/>
  <c r="N85" i="75" s="1"/>
  <c r="M26" i="91"/>
  <c r="M27" i="91" s="1"/>
  <c r="B4" i="93" s="1"/>
  <c r="L27" i="91"/>
  <c r="G26" i="93"/>
  <c r="G50" i="93" s="1"/>
  <c r="H26" i="93"/>
  <c r="H50" i="93" s="1"/>
  <c r="L26" i="93"/>
  <c r="L50" i="93" s="1"/>
  <c r="J26" i="93"/>
  <c r="J50" i="93" s="1"/>
  <c r="M26" i="93"/>
  <c r="M50" i="93" s="1"/>
  <c r="B50" i="93"/>
  <c r="I26" i="93"/>
  <c r="I50" i="93" s="1"/>
  <c r="F26" i="93"/>
  <c r="F50" i="93" s="1"/>
  <c r="D26" i="93"/>
  <c r="D50" i="93" s="1"/>
  <c r="E26" i="93"/>
  <c r="E50" i="93" s="1"/>
  <c r="K26" i="93"/>
  <c r="K50" i="93" s="1"/>
  <c r="L40" i="93"/>
  <c r="L58" i="93" s="1"/>
  <c r="G40" i="93"/>
  <c r="G58" i="93" s="1"/>
  <c r="M40" i="93"/>
  <c r="M58" i="93" s="1"/>
  <c r="I40" i="93"/>
  <c r="I58" i="93" s="1"/>
  <c r="E40" i="93"/>
  <c r="E58" i="93" s="1"/>
  <c r="D40" i="93"/>
  <c r="J40" i="93"/>
  <c r="J58" i="93" s="1"/>
  <c r="F40" i="93"/>
  <c r="F58" i="93" s="1"/>
  <c r="K40" i="93"/>
  <c r="K58" i="93" s="1"/>
  <c r="H40" i="93"/>
  <c r="H58" i="93" s="1"/>
  <c r="B58" i="93"/>
  <c r="T8" i="72"/>
  <c r="N137" i="75" s="1"/>
  <c r="T9" i="72"/>
  <c r="N138" i="75" s="1"/>
  <c r="T6" i="72"/>
  <c r="N135" i="75" s="1"/>
  <c r="T8" i="71"/>
  <c r="N87" i="75" s="1"/>
  <c r="N84" i="75"/>
  <c r="T7" i="72"/>
  <c r="N136" i="75" s="1"/>
  <c r="T4" i="93"/>
  <c r="J50" i="75"/>
  <c r="F22" i="91" l="1"/>
  <c r="F23" i="91" s="1"/>
  <c r="F24" i="91" s="1"/>
  <c r="D58" i="93"/>
  <c r="J6" i="93"/>
  <c r="J28" i="93" s="1"/>
  <c r="K6" i="93"/>
  <c r="K28" i="93" s="1"/>
  <c r="L6" i="93"/>
  <c r="L28" i="93" s="1"/>
  <c r="E6" i="93"/>
  <c r="E28" i="93" s="1"/>
  <c r="M6" i="93"/>
  <c r="M28" i="93" s="1"/>
  <c r="F6" i="93"/>
  <c r="F28" i="93" s="1"/>
  <c r="D6" i="93"/>
  <c r="D28" i="93" s="1"/>
  <c r="G6" i="93"/>
  <c r="G28" i="93" s="1"/>
  <c r="H6" i="93"/>
  <c r="H28" i="93" s="1"/>
  <c r="I6" i="93"/>
  <c r="I28" i="93" s="1"/>
  <c r="U4" i="93"/>
  <c r="V4" i="93" l="1"/>
  <c r="S153" i="75"/>
  <c r="J153" i="75" s="1"/>
  <c r="S152" i="75"/>
  <c r="J152" i="75" s="1"/>
  <c r="S151" i="75"/>
  <c r="J151" i="75" s="1"/>
  <c r="S150" i="75"/>
  <c r="J150" i="75" s="1"/>
  <c r="S149" i="75"/>
  <c r="J149" i="75" s="1"/>
  <c r="S148" i="75"/>
  <c r="J148" i="75" s="1"/>
  <c r="S147" i="75"/>
  <c r="J147" i="75" s="1"/>
  <c r="S146" i="75"/>
  <c r="J146" i="75" s="1"/>
  <c r="S145" i="75"/>
  <c r="J145" i="75" s="1"/>
  <c r="S144" i="75"/>
  <c r="J144" i="75" s="1"/>
  <c r="S143" i="75"/>
  <c r="J143" i="75" s="1"/>
  <c r="S142" i="75"/>
  <c r="J142" i="75" s="1"/>
  <c r="S141" i="75"/>
  <c r="J141" i="75" s="1"/>
  <c r="S140" i="75"/>
  <c r="J140" i="75" s="1"/>
  <c r="S139" i="75"/>
  <c r="J139" i="75" s="1"/>
  <c r="S138" i="75"/>
  <c r="J138" i="75" s="1"/>
  <c r="S137" i="75"/>
  <c r="J137" i="75" s="1"/>
  <c r="S136" i="75"/>
  <c r="J136" i="75" s="1"/>
  <c r="S135" i="75"/>
  <c r="J135" i="75" s="1"/>
  <c r="S134" i="75"/>
  <c r="J134" i="75" s="1"/>
  <c r="S133" i="75"/>
  <c r="J133" i="75" s="1"/>
  <c r="S132" i="75"/>
  <c r="J132" i="75" s="1"/>
  <c r="S131" i="75"/>
  <c r="J131" i="75" s="1"/>
  <c r="S130" i="75"/>
  <c r="J130" i="75" s="1"/>
  <c r="S129" i="75"/>
  <c r="J129" i="75" s="1"/>
  <c r="S128" i="75"/>
  <c r="J128" i="75" s="1"/>
  <c r="S127" i="75"/>
  <c r="J127" i="75" s="1"/>
  <c r="S126" i="75"/>
  <c r="J126" i="75" s="1"/>
  <c r="S125" i="75"/>
  <c r="J125" i="75" s="1"/>
  <c r="S124" i="75"/>
  <c r="J124" i="75" s="1"/>
  <c r="S123" i="75"/>
  <c r="J123" i="75" s="1"/>
  <c r="S122" i="75"/>
  <c r="J122" i="75" s="1"/>
  <c r="S121" i="75"/>
  <c r="J121" i="75" s="1"/>
  <c r="S120" i="75"/>
  <c r="J120" i="75" s="1"/>
  <c r="S119" i="75"/>
  <c r="J119" i="75" s="1"/>
  <c r="S118" i="75"/>
  <c r="J118" i="75" s="1"/>
  <c r="S117" i="75"/>
  <c r="J117" i="75" s="1"/>
  <c r="S116" i="75"/>
  <c r="J116" i="75" s="1"/>
  <c r="S115" i="75"/>
  <c r="J115" i="75" s="1"/>
  <c r="S114" i="75"/>
  <c r="J114" i="75" s="1"/>
  <c r="S113" i="75"/>
  <c r="J113" i="75" s="1"/>
  <c r="S112" i="75"/>
  <c r="J112" i="75" s="1"/>
  <c r="S111" i="75"/>
  <c r="J111" i="75" s="1"/>
  <c r="S110" i="75"/>
  <c r="J110" i="75" s="1"/>
  <c r="S109" i="75"/>
  <c r="J109" i="75" s="1"/>
  <c r="S108" i="75"/>
  <c r="J108" i="75" s="1"/>
  <c r="S107" i="75"/>
  <c r="J107" i="75" s="1"/>
  <c r="S106" i="75"/>
  <c r="J106" i="75" s="1"/>
  <c r="S105" i="75"/>
  <c r="J105" i="75" s="1"/>
  <c r="S104" i="75"/>
  <c r="J104" i="75" s="1"/>
  <c r="S103" i="75"/>
  <c r="J103" i="75" s="1"/>
  <c r="S102" i="75"/>
  <c r="J102" i="75" s="1"/>
  <c r="S101" i="75"/>
  <c r="J101" i="75" s="1"/>
  <c r="S100" i="75"/>
  <c r="J100" i="75" s="1"/>
  <c r="S99" i="75"/>
  <c r="J99" i="75" s="1"/>
  <c r="S98" i="75"/>
  <c r="J98" i="75" s="1"/>
  <c r="S97" i="75"/>
  <c r="J97" i="75" s="1"/>
  <c r="S96" i="75"/>
  <c r="J96" i="75" s="1"/>
  <c r="S95" i="75"/>
  <c r="J95" i="75" s="1"/>
  <c r="S94" i="75"/>
  <c r="J94" i="75" s="1"/>
  <c r="S93" i="75"/>
  <c r="J93" i="75" s="1"/>
  <c r="S92" i="75"/>
  <c r="J92" i="75" s="1"/>
  <c r="S91" i="75"/>
  <c r="J91" i="75" s="1"/>
  <c r="S90" i="75"/>
  <c r="J90" i="75" s="1"/>
  <c r="S89" i="75"/>
  <c r="J89" i="75" s="1"/>
  <c r="S88" i="75"/>
  <c r="J88" i="75" s="1"/>
  <c r="S87" i="75"/>
  <c r="J87" i="75" s="1"/>
  <c r="S86" i="75"/>
  <c r="J86" i="75" s="1"/>
  <c r="S85" i="75"/>
  <c r="J85" i="75" s="1"/>
  <c r="S84" i="75"/>
  <c r="J84" i="75" s="1"/>
  <c r="S83" i="75"/>
  <c r="J83" i="75" s="1"/>
  <c r="S82" i="75"/>
  <c r="J82" i="75" s="1"/>
  <c r="S81" i="75"/>
  <c r="J81" i="75" s="1"/>
  <c r="S80" i="75"/>
  <c r="J80" i="75" s="1"/>
  <c r="S79" i="75"/>
  <c r="J79" i="75" s="1"/>
  <c r="S78" i="75"/>
  <c r="J78" i="75" s="1"/>
  <c r="S77" i="75"/>
  <c r="J77" i="75" s="1"/>
  <c r="S76" i="75"/>
  <c r="J76" i="75" s="1"/>
  <c r="S75" i="75"/>
  <c r="J75" i="75" s="1"/>
  <c r="S74" i="75"/>
  <c r="J74" i="75" s="1"/>
  <c r="S73" i="75"/>
  <c r="J73" i="75" s="1"/>
  <c r="S72" i="75"/>
  <c r="J72" i="75" s="1"/>
  <c r="S71" i="75"/>
  <c r="J71" i="75" s="1"/>
  <c r="S70" i="75"/>
  <c r="J70" i="75" s="1"/>
  <c r="S69" i="75"/>
  <c r="J69" i="75" s="1"/>
  <c r="S64" i="75"/>
  <c r="J64" i="75" s="1"/>
  <c r="S68" i="75"/>
  <c r="J68" i="75" s="1"/>
  <c r="S67" i="75"/>
  <c r="J67" i="75" s="1"/>
  <c r="S66" i="75"/>
  <c r="J66" i="75" s="1"/>
  <c r="S65" i="75"/>
  <c r="J65" i="75" s="1"/>
  <c r="S5" i="75"/>
  <c r="J5" i="75" s="1"/>
  <c r="S8" i="75"/>
  <c r="J8" i="75" s="1"/>
  <c r="S9" i="75"/>
  <c r="J9" i="75" s="1"/>
  <c r="S10" i="75"/>
  <c r="J10" i="75" s="1"/>
  <c r="S11" i="75"/>
  <c r="J11" i="75" s="1"/>
  <c r="S12" i="75"/>
  <c r="J12" i="75" s="1"/>
  <c r="S13" i="75"/>
  <c r="J13" i="75" s="1"/>
  <c r="S14" i="75"/>
  <c r="J14" i="75" s="1"/>
  <c r="S15" i="75"/>
  <c r="J15" i="75" s="1"/>
  <c r="S16" i="75"/>
  <c r="J16" i="75" s="1"/>
  <c r="S17" i="75"/>
  <c r="J17" i="75" s="1"/>
  <c r="S18" i="75"/>
  <c r="J18" i="75" s="1"/>
  <c r="S19" i="75"/>
  <c r="J19" i="75" s="1"/>
  <c r="S20" i="75"/>
  <c r="J20" i="75" s="1"/>
  <c r="S21" i="75"/>
  <c r="J21" i="75" s="1"/>
  <c r="S22" i="75"/>
  <c r="J22" i="75" s="1"/>
  <c r="S23" i="75"/>
  <c r="J23" i="75" s="1"/>
  <c r="S24" i="75"/>
  <c r="J24" i="75" s="1"/>
  <c r="S25" i="75"/>
  <c r="J25" i="75" s="1"/>
  <c r="S26" i="75"/>
  <c r="J26" i="75" s="1"/>
  <c r="S27" i="75"/>
  <c r="J27" i="75" s="1"/>
  <c r="S28" i="75"/>
  <c r="J28" i="75" s="1"/>
  <c r="S29" i="75"/>
  <c r="J29" i="75" s="1"/>
  <c r="S30" i="75"/>
  <c r="J30" i="75" s="1"/>
  <c r="S31" i="75"/>
  <c r="J31" i="75" s="1"/>
  <c r="S32" i="75"/>
  <c r="J32" i="75" s="1"/>
  <c r="S33" i="75"/>
  <c r="J33" i="75" s="1"/>
  <c r="S34" i="75"/>
  <c r="J34" i="75" s="1"/>
  <c r="S35" i="75"/>
  <c r="J35" i="75" s="1"/>
  <c r="S36" i="75"/>
  <c r="J36" i="75" s="1"/>
  <c r="S37" i="75"/>
  <c r="J37" i="75" s="1"/>
  <c r="S38" i="75"/>
  <c r="J38" i="75" s="1"/>
  <c r="S39" i="75"/>
  <c r="J39" i="75" s="1"/>
  <c r="S40" i="75"/>
  <c r="J40" i="75" s="1"/>
  <c r="S41" i="75"/>
  <c r="J41" i="75" s="1"/>
  <c r="S42" i="75"/>
  <c r="J42" i="75" s="1"/>
  <c r="S43" i="75"/>
  <c r="J43" i="75" s="1"/>
  <c r="S55" i="75"/>
  <c r="J55" i="75" s="1"/>
  <c r="S56" i="75"/>
  <c r="J56" i="75" s="1"/>
  <c r="S57" i="75"/>
  <c r="J57" i="75" s="1"/>
  <c r="S58" i="75"/>
  <c r="J58" i="75" s="1"/>
  <c r="J59" i="75"/>
  <c r="S60" i="75"/>
  <c r="J60" i="75" s="1"/>
  <c r="S61" i="75"/>
  <c r="J61" i="75" s="1"/>
  <c r="S62" i="75"/>
  <c r="J62" i="75" s="1"/>
  <c r="S63" i="75"/>
  <c r="J63" i="75" s="1"/>
  <c r="S4" i="75"/>
  <c r="J4" i="75" s="1"/>
  <c r="O10" i="71"/>
  <c r="P10" i="71"/>
  <c r="R10" i="71"/>
  <c r="S10" i="71"/>
  <c r="T10" i="71"/>
  <c r="U10" i="71"/>
  <c r="V10" i="71"/>
  <c r="W10" i="71"/>
  <c r="W4" i="93" l="1"/>
  <c r="X4" i="93" l="1"/>
  <c r="Y4" i="93" l="1"/>
  <c r="Z4" i="93" l="1"/>
  <c r="AA4" i="93" l="1"/>
  <c r="AB4" i="93" l="1"/>
  <c r="AC4" i="93" l="1"/>
  <c r="AD4" i="93" l="1"/>
  <c r="AE4" i="93" l="1"/>
  <c r="AF4" i="93" l="1"/>
  <c r="AG4" i="93" l="1"/>
  <c r="I44" i="75" l="1"/>
  <c r="I52" i="75"/>
  <c r="I43" i="75"/>
  <c r="I35" i="75"/>
  <c r="I26" i="75"/>
  <c r="I12" i="75"/>
  <c r="I13" i="75"/>
  <c r="I51" i="75"/>
  <c r="I42" i="75"/>
  <c r="I33" i="75"/>
  <c r="I25" i="75"/>
  <c r="I10" i="75"/>
  <c r="I11" i="75"/>
  <c r="I50" i="75"/>
  <c r="I41" i="75"/>
  <c r="I32" i="75"/>
  <c r="I8" i="75"/>
  <c r="I9" i="75"/>
  <c r="I34" i="75"/>
  <c r="I49" i="75"/>
  <c r="I40" i="75"/>
  <c r="I31" i="75"/>
  <c r="I22" i="75"/>
  <c r="I23" i="75"/>
  <c r="I39" i="75"/>
  <c r="I20" i="75"/>
  <c r="I21" i="75"/>
  <c r="I47" i="75"/>
  <c r="I38" i="75"/>
  <c r="I29" i="75"/>
  <c r="I18" i="75"/>
  <c r="I19" i="75"/>
  <c r="I24" i="75"/>
  <c r="I48" i="75"/>
  <c r="I30" i="75"/>
  <c r="I46" i="75"/>
  <c r="I37" i="75"/>
  <c r="I28" i="75"/>
  <c r="I16" i="75"/>
  <c r="I17" i="75"/>
  <c r="I4" i="75"/>
  <c r="I5" i="75"/>
  <c r="I53" i="75"/>
  <c r="I45" i="75"/>
  <c r="I36" i="75"/>
  <c r="I15" i="75"/>
  <c r="I14" i="75"/>
  <c r="N10" i="71" l="1"/>
  <c r="Q10" i="71"/>
  <c r="N16" i="75" l="1"/>
  <c r="N21" i="75"/>
  <c r="N10" i="75"/>
  <c r="N6" i="75"/>
  <c r="G6" i="75" s="1"/>
  <c r="N11" i="75"/>
  <c r="N22" i="75"/>
  <c r="N23" i="75"/>
  <c r="N5" i="75"/>
  <c r="N19" i="75"/>
  <c r="N20" i="75"/>
  <c r="N8" i="75"/>
  <c r="N9" i="75"/>
  <c r="N13" i="75" l="1"/>
  <c r="N15" i="75"/>
  <c r="N12" i="75"/>
  <c r="N14" i="75"/>
  <c r="N4" i="75"/>
  <c r="N18" i="75"/>
  <c r="N7" i="75"/>
  <c r="G7" i="75" s="1"/>
  <c r="N17" i="75"/>
  <c r="F4" i="75" l="1"/>
  <c r="F5" i="75"/>
  <c r="K111" i="75"/>
  <c r="K61" i="75"/>
  <c r="K25" i="75"/>
  <c r="F25" i="75" s="1"/>
  <c r="K109" i="75"/>
  <c r="K59" i="75"/>
  <c r="K110" i="75"/>
  <c r="K63" i="75"/>
  <c r="K60" i="75"/>
  <c r="K35" i="75"/>
  <c r="F35" i="75" s="1"/>
  <c r="K112" i="75"/>
  <c r="K45" i="75"/>
  <c r="F45" i="75" s="1"/>
  <c r="K62" i="75"/>
  <c r="K113" i="75"/>
  <c r="L11" i="75"/>
  <c r="G11" i="75" s="1"/>
  <c r="L10" i="75"/>
  <c r="G10" i="75" s="1"/>
  <c r="L72" i="75"/>
  <c r="L123" i="75"/>
  <c r="L73" i="75"/>
  <c r="L47" i="75"/>
  <c r="G47" i="75" s="1"/>
  <c r="L122" i="75"/>
  <c r="L121" i="75"/>
  <c r="L71" i="75"/>
  <c r="L27" i="75"/>
  <c r="G27" i="75" s="1"/>
  <c r="L119" i="75"/>
  <c r="L69" i="75"/>
  <c r="L120" i="75"/>
  <c r="L70" i="75"/>
  <c r="L37" i="75"/>
  <c r="G37" i="75" s="1"/>
  <c r="L148" i="75"/>
  <c r="L21" i="75"/>
  <c r="G21" i="75" s="1"/>
  <c r="L20" i="75"/>
  <c r="G20" i="75" s="1"/>
  <c r="L98" i="75"/>
  <c r="L146" i="75"/>
  <c r="L96" i="75"/>
  <c r="L42" i="75"/>
  <c r="G42" i="75" s="1"/>
  <c r="L144" i="75"/>
  <c r="L97" i="75"/>
  <c r="L94" i="75"/>
  <c r="L145" i="75"/>
  <c r="L95" i="75"/>
  <c r="L52" i="75"/>
  <c r="G52" i="75" s="1"/>
  <c r="L147" i="75"/>
  <c r="L32" i="75"/>
  <c r="G32" i="75" s="1"/>
  <c r="K10" i="75"/>
  <c r="F10" i="75" s="1"/>
  <c r="K11" i="75"/>
  <c r="F11" i="75" s="1"/>
  <c r="K73" i="75"/>
  <c r="K47" i="75"/>
  <c r="F47" i="75" s="1"/>
  <c r="K121" i="75"/>
  <c r="K71" i="75"/>
  <c r="K27" i="75"/>
  <c r="F27" i="75" s="1"/>
  <c r="K119" i="75"/>
  <c r="K69" i="75"/>
  <c r="K120" i="75"/>
  <c r="K72" i="75"/>
  <c r="K70" i="75"/>
  <c r="K37" i="75"/>
  <c r="F37" i="75" s="1"/>
  <c r="K123" i="75"/>
  <c r="K122" i="75"/>
  <c r="K9" i="75"/>
  <c r="F9" i="75" s="1"/>
  <c r="K8" i="75"/>
  <c r="F8" i="75" s="1"/>
  <c r="K67" i="75"/>
  <c r="K118" i="75"/>
  <c r="K68" i="75"/>
  <c r="K46" i="75"/>
  <c r="F46" i="75" s="1"/>
  <c r="K116" i="75"/>
  <c r="K66" i="75"/>
  <c r="K26" i="75"/>
  <c r="F26" i="75" s="1"/>
  <c r="K114" i="75"/>
  <c r="K64" i="75"/>
  <c r="K115" i="75"/>
  <c r="K117" i="75"/>
  <c r="K65" i="75"/>
  <c r="K36" i="75"/>
  <c r="F36" i="75" s="1"/>
  <c r="L17" i="75"/>
  <c r="G17" i="75" s="1"/>
  <c r="L16" i="75"/>
  <c r="G16" i="75" s="1"/>
  <c r="L50" i="75"/>
  <c r="G50" i="75" s="1"/>
  <c r="L40" i="75"/>
  <c r="G40" i="75" s="1"/>
  <c r="L86" i="75"/>
  <c r="L30" i="75"/>
  <c r="G30" i="75" s="1"/>
  <c r="L134" i="75"/>
  <c r="L136" i="75"/>
  <c r="L84" i="75"/>
  <c r="L135" i="75"/>
  <c r="L85" i="75"/>
  <c r="L137" i="75"/>
  <c r="L87" i="75"/>
  <c r="L138" i="75"/>
  <c r="L88" i="75"/>
  <c r="L9" i="75"/>
  <c r="G9" i="75" s="1"/>
  <c r="L8" i="75"/>
  <c r="G8" i="75" s="1"/>
  <c r="L117" i="75"/>
  <c r="L67" i="75"/>
  <c r="L118" i="75"/>
  <c r="L65" i="75"/>
  <c r="L68" i="75"/>
  <c r="L46" i="75"/>
  <c r="G46" i="75" s="1"/>
  <c r="L36" i="75"/>
  <c r="G36" i="75" s="1"/>
  <c r="L116" i="75"/>
  <c r="L66" i="75"/>
  <c r="L26" i="75"/>
  <c r="G26" i="75" s="1"/>
  <c r="L114" i="75"/>
  <c r="L64" i="75"/>
  <c r="L115" i="75"/>
  <c r="L19" i="75"/>
  <c r="G19" i="75" s="1"/>
  <c r="L18" i="75"/>
  <c r="G18" i="75" s="1"/>
  <c r="L92" i="75"/>
  <c r="L143" i="75"/>
  <c r="L93" i="75"/>
  <c r="L51" i="75"/>
  <c r="G51" i="75" s="1"/>
  <c r="L141" i="75"/>
  <c r="L91" i="75"/>
  <c r="L31" i="75"/>
  <c r="G31" i="75" s="1"/>
  <c r="L139" i="75"/>
  <c r="L89" i="75"/>
  <c r="L140" i="75"/>
  <c r="L90" i="75"/>
  <c r="L41" i="75"/>
  <c r="G41" i="75" s="1"/>
  <c r="L142" i="75"/>
  <c r="K15" i="75"/>
  <c r="F15" i="75" s="1"/>
  <c r="K14" i="75"/>
  <c r="F14" i="75" s="1"/>
  <c r="K132" i="75"/>
  <c r="K39" i="75"/>
  <c r="F39" i="75" s="1"/>
  <c r="K82" i="75"/>
  <c r="K133" i="75"/>
  <c r="K83" i="75"/>
  <c r="K49" i="75"/>
  <c r="F49" i="75" s="1"/>
  <c r="K131" i="75"/>
  <c r="K81" i="75"/>
  <c r="K29" i="75"/>
  <c r="F29" i="75" s="1"/>
  <c r="K129" i="75"/>
  <c r="K80" i="75"/>
  <c r="K79" i="75"/>
  <c r="K130" i="75"/>
  <c r="K12" i="75"/>
  <c r="F12" i="75" s="1"/>
  <c r="K13" i="75"/>
  <c r="F13" i="75" s="1"/>
  <c r="K75" i="75"/>
  <c r="K38" i="75"/>
  <c r="F38" i="75" s="1"/>
  <c r="K125" i="75"/>
  <c r="K127" i="75"/>
  <c r="K74" i="75"/>
  <c r="K77" i="75"/>
  <c r="K128" i="75"/>
  <c r="K78" i="75"/>
  <c r="K48" i="75"/>
  <c r="F48" i="75" s="1"/>
  <c r="K126" i="75"/>
  <c r="K76" i="75"/>
  <c r="K28" i="75"/>
  <c r="F28" i="75" s="1"/>
  <c r="K124" i="75"/>
  <c r="L5" i="75"/>
  <c r="G5" i="75" s="1"/>
  <c r="L4" i="75"/>
  <c r="G4" i="75" s="1"/>
  <c r="L106" i="75"/>
  <c r="L56" i="75"/>
  <c r="L24" i="75"/>
  <c r="G24" i="75" s="1"/>
  <c r="L104" i="75"/>
  <c r="L34" i="75"/>
  <c r="G34" i="75" s="1"/>
  <c r="L58" i="75"/>
  <c r="L54" i="75"/>
  <c r="G54" i="75" s="1"/>
  <c r="L105" i="75"/>
  <c r="L44" i="75"/>
  <c r="G44" i="75" s="1"/>
  <c r="L55" i="75"/>
  <c r="L107" i="75"/>
  <c r="L57" i="75"/>
  <c r="L108" i="75"/>
  <c r="L15" i="75"/>
  <c r="G15" i="75" s="1"/>
  <c r="L14" i="75"/>
  <c r="G14" i="75" s="1"/>
  <c r="L80" i="75"/>
  <c r="L39" i="75"/>
  <c r="G39" i="75" s="1"/>
  <c r="L132" i="75"/>
  <c r="L82" i="75"/>
  <c r="L133" i="75"/>
  <c r="L79" i="75"/>
  <c r="L83" i="75"/>
  <c r="L49" i="75"/>
  <c r="G49" i="75" s="1"/>
  <c r="L131" i="75"/>
  <c r="L130" i="75"/>
  <c r="L81" i="75"/>
  <c r="L29" i="75"/>
  <c r="G29" i="75" s="1"/>
  <c r="L129" i="75"/>
  <c r="K22" i="75"/>
  <c r="F22" i="75" s="1"/>
  <c r="K23" i="75"/>
  <c r="F23" i="75" s="1"/>
  <c r="K102" i="75"/>
  <c r="K153" i="75"/>
  <c r="K103" i="75"/>
  <c r="K53" i="75"/>
  <c r="F53" i="75" s="1"/>
  <c r="K152" i="75"/>
  <c r="K151" i="75"/>
  <c r="K99" i="75"/>
  <c r="K101" i="75"/>
  <c r="K33" i="75"/>
  <c r="F33" i="75" s="1"/>
  <c r="K149" i="75"/>
  <c r="K150" i="75"/>
  <c r="K100" i="75"/>
  <c r="K43" i="75"/>
  <c r="F43" i="75" s="1"/>
  <c r="K148" i="75"/>
  <c r="K21" i="75"/>
  <c r="F21" i="75" s="1"/>
  <c r="K20" i="75"/>
  <c r="F20" i="75" s="1"/>
  <c r="K146" i="75"/>
  <c r="K98" i="75"/>
  <c r="K96" i="75"/>
  <c r="K42" i="75"/>
  <c r="F42" i="75" s="1"/>
  <c r="K144" i="75"/>
  <c r="K94" i="75"/>
  <c r="K145" i="75"/>
  <c r="K95" i="75"/>
  <c r="K52" i="75"/>
  <c r="F52" i="75" s="1"/>
  <c r="K147" i="75"/>
  <c r="K97" i="75"/>
  <c r="K32" i="75"/>
  <c r="F32" i="75" s="1"/>
  <c r="K17" i="75"/>
  <c r="F17" i="75" s="1"/>
  <c r="K50" i="75"/>
  <c r="F50" i="75" s="1"/>
  <c r="K40" i="75"/>
  <c r="F40" i="75" s="1"/>
  <c r="K16" i="75"/>
  <c r="F16" i="75" s="1"/>
  <c r="K134" i="75"/>
  <c r="K86" i="75"/>
  <c r="K84" i="75"/>
  <c r="K135" i="75"/>
  <c r="K137" i="75"/>
  <c r="K87" i="75"/>
  <c r="K138" i="75"/>
  <c r="K85" i="75"/>
  <c r="K30" i="75"/>
  <c r="F30" i="75" s="1"/>
  <c r="K88" i="75"/>
  <c r="K136" i="75"/>
  <c r="K18" i="75"/>
  <c r="F18" i="75" s="1"/>
  <c r="K19" i="75"/>
  <c r="F19" i="75" s="1"/>
  <c r="K93" i="75"/>
  <c r="K51" i="75"/>
  <c r="F51" i="75" s="1"/>
  <c r="K141" i="75"/>
  <c r="K143" i="75"/>
  <c r="K91" i="75"/>
  <c r="K31" i="75"/>
  <c r="F31" i="75" s="1"/>
  <c r="K139" i="75"/>
  <c r="K89" i="75"/>
  <c r="K140" i="75"/>
  <c r="K92" i="75"/>
  <c r="K90" i="75"/>
  <c r="K41" i="75"/>
  <c r="F41" i="75" s="1"/>
  <c r="K142" i="75"/>
  <c r="L63" i="75"/>
  <c r="L45" i="75"/>
  <c r="G45" i="75" s="1"/>
  <c r="L113" i="75"/>
  <c r="L111" i="75"/>
  <c r="L61" i="75"/>
  <c r="L25" i="75"/>
  <c r="G25" i="75" s="1"/>
  <c r="L62" i="75"/>
  <c r="L109" i="75"/>
  <c r="L59" i="75"/>
  <c r="L110" i="75"/>
  <c r="L60" i="75"/>
  <c r="L35" i="75"/>
  <c r="G35" i="75" s="1"/>
  <c r="L112" i="75"/>
  <c r="L12" i="75"/>
  <c r="G12" i="75" s="1"/>
  <c r="L13" i="75"/>
  <c r="G13" i="75" s="1"/>
  <c r="L74" i="75"/>
  <c r="L125" i="75"/>
  <c r="L75" i="75"/>
  <c r="L38" i="75"/>
  <c r="G38" i="75" s="1"/>
  <c r="L127" i="75"/>
  <c r="L77" i="75"/>
  <c r="L128" i="75"/>
  <c r="L78" i="75"/>
  <c r="L48" i="75"/>
  <c r="G48" i="75" s="1"/>
  <c r="L124" i="75"/>
  <c r="L126" i="75"/>
  <c r="L76" i="75"/>
  <c r="L28" i="75"/>
  <c r="G28" i="75" s="1"/>
  <c r="K56" i="75"/>
  <c r="K24" i="75"/>
  <c r="F24" i="75" s="1"/>
  <c r="K104" i="75"/>
  <c r="K54" i="75"/>
  <c r="K105" i="75"/>
  <c r="K55" i="75"/>
  <c r="K34" i="75"/>
  <c r="F34" i="75" s="1"/>
  <c r="K107" i="75"/>
  <c r="K57" i="75"/>
  <c r="K108" i="75"/>
  <c r="K58" i="75"/>
  <c r="K44" i="75"/>
  <c r="F44" i="75" s="1"/>
  <c r="K106" i="75"/>
  <c r="L23" i="75"/>
  <c r="G23" i="75" s="1"/>
  <c r="L22" i="75"/>
  <c r="G22" i="75" s="1"/>
  <c r="L152" i="75"/>
  <c r="L102" i="75"/>
  <c r="L153" i="75"/>
  <c r="L99" i="75"/>
  <c r="L103" i="75"/>
  <c r="L53" i="75"/>
  <c r="G53" i="75" s="1"/>
  <c r="L100" i="75"/>
  <c r="L151" i="75"/>
  <c r="L101" i="75"/>
  <c r="L33" i="75"/>
  <c r="G33" i="75" s="1"/>
  <c r="L149" i="75"/>
  <c r="L43" i="75"/>
  <c r="G43" i="75" s="1"/>
  <c r="L150" i="75"/>
  <c r="B13" i="57"/>
  <c r="C13" i="57"/>
  <c r="V145" i="75" l="1"/>
  <c r="F145" i="75"/>
  <c r="F127" i="75"/>
  <c r="V127" i="75"/>
  <c r="F82" i="75"/>
  <c r="V82" i="75"/>
  <c r="W143" i="75"/>
  <c r="G143" i="75"/>
  <c r="W117" i="75"/>
  <c r="G117" i="75"/>
  <c r="W135" i="75"/>
  <c r="G135" i="75"/>
  <c r="F119" i="75"/>
  <c r="V119" i="75"/>
  <c r="W101" i="75"/>
  <c r="G101" i="75"/>
  <c r="W152" i="75"/>
  <c r="G152" i="75"/>
  <c r="F107" i="75"/>
  <c r="V107" i="75"/>
  <c r="W127" i="75"/>
  <c r="G127" i="75"/>
  <c r="W111" i="75"/>
  <c r="G111" i="75"/>
  <c r="V140" i="75"/>
  <c r="F140" i="75"/>
  <c r="F93" i="75"/>
  <c r="V93" i="75"/>
  <c r="V87" i="75"/>
  <c r="F87" i="75"/>
  <c r="V94" i="75"/>
  <c r="F94" i="75"/>
  <c r="V148" i="75"/>
  <c r="F148" i="75"/>
  <c r="F151" i="75"/>
  <c r="V151" i="75"/>
  <c r="G129" i="75"/>
  <c r="W129" i="75"/>
  <c r="W133" i="75"/>
  <c r="G133" i="75"/>
  <c r="W57" i="75"/>
  <c r="G57" i="75"/>
  <c r="W104" i="75"/>
  <c r="G104" i="75"/>
  <c r="V76" i="75"/>
  <c r="F76" i="75"/>
  <c r="V125" i="75"/>
  <c r="F125" i="75"/>
  <c r="V129" i="75"/>
  <c r="F129" i="75"/>
  <c r="G89" i="75"/>
  <c r="W89" i="75"/>
  <c r="W92" i="75"/>
  <c r="G92" i="75"/>
  <c r="W116" i="75"/>
  <c r="G116" i="75"/>
  <c r="G84" i="75"/>
  <c r="W84" i="75"/>
  <c r="F66" i="75"/>
  <c r="V66" i="75"/>
  <c r="F122" i="75"/>
  <c r="V122" i="75"/>
  <c r="W147" i="75"/>
  <c r="G147" i="75"/>
  <c r="W96" i="75"/>
  <c r="G96" i="75"/>
  <c r="W120" i="75"/>
  <c r="G120" i="75"/>
  <c r="W73" i="75"/>
  <c r="G73" i="75"/>
  <c r="F112" i="75"/>
  <c r="V112" i="75"/>
  <c r="F61" i="75"/>
  <c r="V61" i="75"/>
  <c r="W102" i="75"/>
  <c r="G102" i="75"/>
  <c r="F92" i="75"/>
  <c r="V92" i="75"/>
  <c r="W79" i="75"/>
  <c r="G79" i="75"/>
  <c r="F80" i="75"/>
  <c r="V80" i="75"/>
  <c r="W140" i="75"/>
  <c r="G140" i="75"/>
  <c r="W66" i="75"/>
  <c r="G66" i="75"/>
  <c r="W70" i="75"/>
  <c r="G70" i="75"/>
  <c r="W151" i="75"/>
  <c r="G151" i="75"/>
  <c r="W76" i="75"/>
  <c r="G76" i="75"/>
  <c r="W60" i="75"/>
  <c r="G60" i="75"/>
  <c r="W113" i="75"/>
  <c r="G113" i="75"/>
  <c r="F89" i="75"/>
  <c r="V89" i="75"/>
  <c r="F137" i="75"/>
  <c r="V137" i="75"/>
  <c r="F144" i="75"/>
  <c r="V144" i="75"/>
  <c r="F152" i="75"/>
  <c r="V152" i="75"/>
  <c r="W82" i="75"/>
  <c r="G82" i="75"/>
  <c r="W107" i="75"/>
  <c r="G107" i="75"/>
  <c r="V126" i="75"/>
  <c r="F126" i="75"/>
  <c r="V132" i="75"/>
  <c r="F132" i="75"/>
  <c r="W139" i="75"/>
  <c r="G139" i="75"/>
  <c r="W136" i="75"/>
  <c r="G136" i="75"/>
  <c r="F116" i="75"/>
  <c r="V116" i="75"/>
  <c r="F123" i="75"/>
  <c r="V123" i="75"/>
  <c r="V71" i="75"/>
  <c r="F71" i="75"/>
  <c r="W146" i="75"/>
  <c r="G146" i="75"/>
  <c r="W69" i="75"/>
  <c r="G69" i="75"/>
  <c r="W123" i="75"/>
  <c r="G123" i="75"/>
  <c r="V111" i="75"/>
  <c r="F111" i="75"/>
  <c r="F57" i="75"/>
  <c r="V57" i="75"/>
  <c r="V138" i="75"/>
  <c r="F138" i="75"/>
  <c r="W100" i="75"/>
  <c r="G100" i="75"/>
  <c r="V55" i="75"/>
  <c r="F55" i="75"/>
  <c r="W126" i="75"/>
  <c r="G126" i="75"/>
  <c r="W75" i="75"/>
  <c r="G75" i="75"/>
  <c r="W110" i="75"/>
  <c r="G110" i="75"/>
  <c r="F139" i="75"/>
  <c r="V139" i="75"/>
  <c r="F135" i="75"/>
  <c r="V135" i="75"/>
  <c r="F100" i="75"/>
  <c r="V100" i="75"/>
  <c r="W81" i="75"/>
  <c r="G81" i="75"/>
  <c r="W132" i="75"/>
  <c r="G132" i="75"/>
  <c r="W55" i="75"/>
  <c r="G55" i="75"/>
  <c r="W56" i="75"/>
  <c r="G56" i="75"/>
  <c r="V75" i="75"/>
  <c r="F75" i="75"/>
  <c r="F81" i="75"/>
  <c r="V81" i="75"/>
  <c r="W88" i="75"/>
  <c r="G88" i="75"/>
  <c r="G134" i="75"/>
  <c r="W134" i="75"/>
  <c r="F65" i="75"/>
  <c r="V65" i="75"/>
  <c r="F121" i="75"/>
  <c r="V121" i="75"/>
  <c r="W95" i="75"/>
  <c r="G95" i="75"/>
  <c r="W98" i="75"/>
  <c r="G98" i="75"/>
  <c r="G119" i="75"/>
  <c r="W119" i="75"/>
  <c r="W72" i="75"/>
  <c r="G72" i="75"/>
  <c r="F60" i="75"/>
  <c r="V60" i="75"/>
  <c r="W77" i="75"/>
  <c r="G77" i="75"/>
  <c r="V106" i="75"/>
  <c r="F106" i="75"/>
  <c r="F105" i="75"/>
  <c r="V105" i="75"/>
  <c r="W124" i="75"/>
  <c r="G124" i="75"/>
  <c r="W125" i="75"/>
  <c r="G125" i="75"/>
  <c r="W59" i="75"/>
  <c r="G59" i="75"/>
  <c r="W63" i="75"/>
  <c r="G63" i="75"/>
  <c r="F136" i="75"/>
  <c r="V136" i="75"/>
  <c r="F84" i="75"/>
  <c r="V84" i="75"/>
  <c r="F97" i="75"/>
  <c r="V97" i="75"/>
  <c r="F96" i="75"/>
  <c r="V96" i="75"/>
  <c r="F150" i="75"/>
  <c r="V150" i="75"/>
  <c r="V103" i="75"/>
  <c r="F103" i="75"/>
  <c r="W130" i="75"/>
  <c r="G130" i="75"/>
  <c r="W106" i="75"/>
  <c r="G106" i="75"/>
  <c r="F78" i="75"/>
  <c r="V78" i="75"/>
  <c r="V131" i="75"/>
  <c r="F131" i="75"/>
  <c r="W91" i="75"/>
  <c r="G91" i="75"/>
  <c r="W115" i="75"/>
  <c r="G115" i="75"/>
  <c r="W68" i="75"/>
  <c r="G68" i="75"/>
  <c r="W138" i="75"/>
  <c r="G138" i="75"/>
  <c r="F117" i="75"/>
  <c r="V117" i="75"/>
  <c r="F68" i="75"/>
  <c r="V68" i="75"/>
  <c r="V70" i="75"/>
  <c r="F70" i="75"/>
  <c r="W145" i="75"/>
  <c r="G145" i="75"/>
  <c r="V63" i="75"/>
  <c r="F63" i="75"/>
  <c r="W61" i="75"/>
  <c r="G61" i="75"/>
  <c r="V99" i="75"/>
  <c r="F99" i="75"/>
  <c r="W103" i="75"/>
  <c r="G103" i="75"/>
  <c r="F54" i="75"/>
  <c r="V54" i="75"/>
  <c r="G74" i="75"/>
  <c r="W74" i="75"/>
  <c r="W109" i="75"/>
  <c r="G109" i="75"/>
  <c r="F142" i="75"/>
  <c r="V142" i="75"/>
  <c r="V91" i="75"/>
  <c r="F91" i="75"/>
  <c r="F88" i="75"/>
  <c r="V88" i="75"/>
  <c r="F86" i="75"/>
  <c r="V86" i="75"/>
  <c r="F147" i="75"/>
  <c r="V147" i="75"/>
  <c r="F98" i="75"/>
  <c r="V98" i="75"/>
  <c r="F149" i="75"/>
  <c r="V149" i="75"/>
  <c r="F153" i="75"/>
  <c r="V153" i="75"/>
  <c r="W131" i="75"/>
  <c r="G131" i="75"/>
  <c r="W80" i="75"/>
  <c r="G80" i="75"/>
  <c r="W105" i="75"/>
  <c r="G105" i="75"/>
  <c r="V128" i="75"/>
  <c r="F128" i="75"/>
  <c r="W142" i="75"/>
  <c r="G142" i="75"/>
  <c r="W141" i="75"/>
  <c r="G141" i="75"/>
  <c r="G64" i="75"/>
  <c r="W64" i="75"/>
  <c r="W65" i="75"/>
  <c r="G65" i="75"/>
  <c r="W87" i="75"/>
  <c r="G87" i="75"/>
  <c r="W86" i="75"/>
  <c r="G86" i="75"/>
  <c r="V115" i="75"/>
  <c r="F115" i="75"/>
  <c r="F118" i="75"/>
  <c r="V118" i="75"/>
  <c r="F72" i="75"/>
  <c r="V72" i="75"/>
  <c r="F73" i="75"/>
  <c r="V73" i="75"/>
  <c r="G94" i="75"/>
  <c r="W94" i="75"/>
  <c r="W71" i="75"/>
  <c r="G71" i="75"/>
  <c r="V110" i="75"/>
  <c r="F110" i="75"/>
  <c r="W112" i="75"/>
  <c r="G112" i="75"/>
  <c r="W108" i="75"/>
  <c r="G108" i="75"/>
  <c r="W150" i="75"/>
  <c r="G150" i="75"/>
  <c r="W99" i="75"/>
  <c r="G99" i="75"/>
  <c r="F58" i="75"/>
  <c r="V58" i="75"/>
  <c r="V104" i="75"/>
  <c r="F104" i="75"/>
  <c r="W78" i="75"/>
  <c r="G78" i="75"/>
  <c r="W62" i="75"/>
  <c r="G62" i="75"/>
  <c r="V143" i="75"/>
  <c r="F143" i="75"/>
  <c r="F134" i="75"/>
  <c r="V134" i="75"/>
  <c r="V146" i="75"/>
  <c r="F146" i="75"/>
  <c r="F102" i="75"/>
  <c r="V102" i="75"/>
  <c r="W54" i="75"/>
  <c r="F77" i="75"/>
  <c r="V77" i="75"/>
  <c r="F130" i="75"/>
  <c r="V130" i="75"/>
  <c r="V83" i="75"/>
  <c r="F83" i="75"/>
  <c r="W114" i="75"/>
  <c r="G114" i="75"/>
  <c r="W118" i="75"/>
  <c r="G118" i="75"/>
  <c r="W137" i="75"/>
  <c r="G137" i="75"/>
  <c r="F64" i="75"/>
  <c r="V64" i="75"/>
  <c r="V67" i="75"/>
  <c r="F67" i="75"/>
  <c r="F120" i="75"/>
  <c r="V120" i="75"/>
  <c r="W97" i="75"/>
  <c r="G97" i="75"/>
  <c r="W148" i="75"/>
  <c r="G148" i="75"/>
  <c r="W121" i="75"/>
  <c r="G121" i="75"/>
  <c r="V113" i="75"/>
  <c r="F113" i="75"/>
  <c r="V59" i="75"/>
  <c r="F59" i="75"/>
  <c r="F56" i="75"/>
  <c r="V56" i="75"/>
  <c r="W149" i="75"/>
  <c r="G149" i="75"/>
  <c r="W153" i="75"/>
  <c r="G153" i="75"/>
  <c r="V108" i="75"/>
  <c r="F108" i="75"/>
  <c r="W128" i="75"/>
  <c r="G128" i="75"/>
  <c r="F90" i="75"/>
  <c r="V90" i="75"/>
  <c r="V141" i="75"/>
  <c r="F141" i="75"/>
  <c r="F85" i="75"/>
  <c r="V85" i="75"/>
  <c r="F95" i="75"/>
  <c r="V95" i="75"/>
  <c r="F101" i="75"/>
  <c r="V101" i="75"/>
  <c r="W83" i="75"/>
  <c r="G83" i="75"/>
  <c r="W58" i="75"/>
  <c r="G58" i="75"/>
  <c r="V124" i="75"/>
  <c r="F124" i="75"/>
  <c r="F74" i="75"/>
  <c r="V74" i="75"/>
  <c r="V79" i="75"/>
  <c r="F79" i="75"/>
  <c r="V133" i="75"/>
  <c r="F133" i="75"/>
  <c r="W90" i="75"/>
  <c r="G90" i="75"/>
  <c r="W93" i="75"/>
  <c r="G93" i="75"/>
  <c r="W67" i="75"/>
  <c r="G67" i="75"/>
  <c r="W85" i="75"/>
  <c r="G85" i="75"/>
  <c r="V114" i="75"/>
  <c r="F114" i="75"/>
  <c r="F69" i="75"/>
  <c r="V69" i="75"/>
  <c r="G144" i="75"/>
  <c r="W144" i="75"/>
  <c r="W122" i="75"/>
  <c r="G122" i="75"/>
  <c r="F62" i="75"/>
  <c r="V62" i="75"/>
  <c r="V109" i="75"/>
  <c r="F109" i="75"/>
  <c r="Z146" i="75" l="1"/>
  <c r="Z101" i="75"/>
  <c r="Z149" i="75"/>
  <c r="Z99" i="75"/>
  <c r="Z147" i="75"/>
  <c r="Z150" i="75"/>
  <c r="Z100" i="75"/>
  <c r="Z98" i="75"/>
  <c r="Z148" i="75"/>
  <c r="Z97" i="75"/>
  <c r="F159" i="75"/>
  <c r="C32" i="91" s="1"/>
  <c r="F157" i="75"/>
  <c r="F158" i="75"/>
  <c r="Y146" i="75"/>
  <c r="Y147" i="75"/>
  <c r="Y149" i="75"/>
  <c r="Y148" i="75"/>
  <c r="Y150" i="75"/>
  <c r="Y97" i="75"/>
  <c r="Y98" i="75"/>
  <c r="Y101" i="75"/>
  <c r="Y99" i="75"/>
  <c r="Y100" i="75"/>
  <c r="C34" i="91" l="1"/>
  <c r="I32" i="91"/>
  <c r="F32" i="91"/>
  <c r="Z151" i="75"/>
  <c r="Z102" i="75"/>
  <c r="AC97" i="75" s="1"/>
  <c r="G169" i="75" s="1"/>
  <c r="F163" i="75"/>
  <c r="Y102" i="75"/>
  <c r="AB149" i="75" s="1"/>
  <c r="F164" i="75"/>
  <c r="Y151" i="75"/>
  <c r="I34" i="91" l="1"/>
  <c r="F34" i="91"/>
  <c r="AC149" i="75"/>
  <c r="AC151" i="75"/>
  <c r="AC101" i="75"/>
  <c r="G173" i="75" s="1"/>
  <c r="AC147" i="75"/>
  <c r="AC98" i="75"/>
  <c r="G170" i="75" s="1"/>
  <c r="AC146" i="75"/>
  <c r="AC99" i="75"/>
  <c r="G171" i="75" s="1"/>
  <c r="AC102" i="75"/>
  <c r="AC100" i="75"/>
  <c r="G172" i="75" s="1"/>
  <c r="AC150" i="75"/>
  <c r="AC148" i="75"/>
  <c r="AB102" i="75"/>
  <c r="AB147" i="75"/>
  <c r="AB101" i="75"/>
  <c r="F173" i="75" s="1"/>
  <c r="AB98" i="75"/>
  <c r="F170" i="75" s="1"/>
  <c r="AB151" i="75"/>
  <c r="AB99" i="75"/>
  <c r="F171" i="75" s="1"/>
  <c r="AB146" i="75"/>
  <c r="AB148" i="75"/>
  <c r="AB97" i="75"/>
  <c r="F169" i="75" s="1"/>
  <c r="AB150" i="75"/>
  <c r="AB100" i="75"/>
  <c r="F172" i="75" s="1"/>
  <c r="G159" i="75" l="1"/>
  <c r="D32" i="91" s="1"/>
  <c r="G158" i="75"/>
  <c r="G32" i="91" l="1"/>
  <c r="J32" i="91"/>
  <c r="E32" i="91"/>
  <c r="G157" i="75"/>
  <c r="D34" i="91" s="1"/>
  <c r="G34" i="91" l="1"/>
  <c r="J34" i="91"/>
  <c r="K34" i="91" s="1"/>
  <c r="E34" i="91"/>
  <c r="H34" i="91" s="1"/>
  <c r="K32" i="91"/>
  <c r="H32" i="91"/>
  <c r="G163" i="75"/>
  <c r="G164" i="75"/>
  <c r="F18" i="91" l="1"/>
  <c r="E12" i="67" l="1"/>
  <c r="J12" i="67"/>
  <c r="K12" i="67"/>
  <c r="I12" i="67"/>
  <c r="H12" i="67"/>
  <c r="D12" i="67"/>
  <c r="G12" i="67"/>
  <c r="C12" i="67" l="1"/>
  <c r="F12" i="67"/>
  <c r="L12" i="67"/>
  <c r="G160" i="75" l="1"/>
  <c r="F160" i="75"/>
  <c r="F156" i="75" l="1"/>
  <c r="C33" i="91" s="1"/>
  <c r="G156" i="75"/>
  <c r="F165" i="75"/>
  <c r="G165" i="75"/>
  <c r="D33" i="91" l="1"/>
  <c r="E33" i="91" s="1"/>
  <c r="I33" i="91"/>
  <c r="F33" i="91"/>
  <c r="F35" i="91" s="1"/>
  <c r="C35" i="91"/>
  <c r="G176" i="75"/>
  <c r="G177" i="75" s="1"/>
  <c r="F176" i="75"/>
  <c r="G166" i="75"/>
  <c r="F166" i="75"/>
  <c r="H33" i="91" l="1"/>
  <c r="H35" i="91" s="1"/>
  <c r="B5" i="93" s="1"/>
  <c r="F17" i="91"/>
  <c r="E35" i="91"/>
  <c r="F19" i="91" s="1"/>
  <c r="I35" i="91"/>
  <c r="J33" i="91"/>
  <c r="J35" i="91" s="1"/>
  <c r="G33" i="91"/>
  <c r="G35" i="91" s="1"/>
  <c r="D35" i="91"/>
  <c r="F177" i="75"/>
  <c r="D158" i="75"/>
  <c r="D159" i="75"/>
  <c r="D157" i="75"/>
  <c r="D160" i="75"/>
  <c r="D156" i="75"/>
  <c r="D7" i="93" l="1"/>
  <c r="I7" i="93"/>
  <c r="H7" i="93"/>
  <c r="K7" i="93"/>
  <c r="G7" i="93"/>
  <c r="E7" i="93"/>
  <c r="F7" i="93"/>
  <c r="L7" i="93"/>
  <c r="J7" i="93"/>
  <c r="M7" i="93"/>
  <c r="N7" i="93"/>
  <c r="O7" i="93"/>
  <c r="P7" i="93"/>
  <c r="Q7" i="93"/>
  <c r="R7" i="93"/>
  <c r="S7" i="93"/>
  <c r="T7" i="93"/>
  <c r="U7" i="93"/>
  <c r="V7" i="93"/>
  <c r="W7" i="93"/>
  <c r="X7" i="93"/>
  <c r="Y7" i="93"/>
  <c r="Z7" i="93"/>
  <c r="AA7" i="93"/>
  <c r="AB7" i="93"/>
  <c r="AC7" i="93"/>
  <c r="AD7" i="93"/>
  <c r="AE7" i="93"/>
  <c r="AF7" i="93"/>
  <c r="AG7" i="93"/>
  <c r="K33" i="91"/>
  <c r="K35" i="91" s="1"/>
  <c r="F20" i="91"/>
  <c r="F21" i="91" l="1"/>
  <c r="B6" i="93"/>
  <c r="D8" i="93" s="1"/>
  <c r="E8" i="93" s="1"/>
  <c r="F8" i="93" s="1"/>
  <c r="G8" i="93" s="1"/>
  <c r="H8" i="93" s="1"/>
  <c r="I8" i="93" s="1"/>
  <c r="J8" i="93" s="1"/>
  <c r="K8" i="93" s="1"/>
  <c r="L8" i="93" s="1"/>
  <c r="M8" i="93" s="1"/>
  <c r="N8" i="93" s="1"/>
  <c r="O8" i="93" s="1"/>
  <c r="P8" i="93" s="1"/>
  <c r="Q8" i="93" s="1"/>
  <c r="R8" i="93" s="1"/>
  <c r="S8" i="93" s="1"/>
  <c r="T8" i="93" s="1"/>
  <c r="U8" i="93" s="1"/>
  <c r="V8" i="93" s="1"/>
  <c r="W8" i="93" s="1"/>
  <c r="B8" i="93"/>
  <c r="B9" i="93"/>
  <c r="B10" i="93" l="1"/>
  <c r="B12" i="93" s="1"/>
  <c r="D38" i="91" s="1"/>
  <c r="X8" i="93"/>
  <c r="Y8" i="93" s="1"/>
  <c r="Z8" i="93" s="1"/>
  <c r="AA8" i="93" s="1"/>
  <c r="AB8" i="93" s="1"/>
  <c r="AC8" i="93" s="1"/>
  <c r="AD8" i="93" s="1"/>
  <c r="AE8" i="93" s="1"/>
  <c r="AF8" i="93" s="1"/>
  <c r="AG8" i="93" s="1"/>
  <c r="B11" i="93" s="1"/>
  <c r="B13" i="93" s="1"/>
  <c r="D39" i="9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K2" authorId="0" shapeId="0" xr:uid="{804CFF5A-D72B-44FA-A197-5C815EF78231}">
      <text>
        <r>
          <rPr>
            <b/>
            <sz val="11"/>
            <color indexed="81"/>
            <rFont val="Tahoma"/>
            <family val="2"/>
          </rPr>
          <t>Author:</t>
        </r>
        <r>
          <rPr>
            <sz val="11"/>
            <color indexed="81"/>
            <rFont val="Tahoma"/>
            <family val="2"/>
          </rPr>
          <t xml:space="preserve">
These prices can be set by the user and determine the calculated cost of energy and value of savings post retrofit.  To set them to the assumed values for current (pre retrofit) prices, use $0.31  per m3 for gas, 11.8 cents per kWh for electricity, and $0.74 per Litre for fuel oil.</t>
        </r>
      </text>
    </comment>
    <comment ref="N3" authorId="0" shapeId="0" xr:uid="{39CD8F60-9E5D-410C-A5C7-3A96A9849C0B}">
      <text>
        <r>
          <rPr>
            <b/>
            <sz val="11"/>
            <color indexed="81"/>
            <rFont val="Tahoma"/>
            <family val="2"/>
          </rPr>
          <t>Author:</t>
        </r>
        <r>
          <rPr>
            <sz val="11"/>
            <color indexed="81"/>
            <rFont val="Tahoma"/>
            <family val="2"/>
          </rPr>
          <t xml:space="preserve">
These "per retrofit" costs do not adjust automatically when the level of ambition is varied in the columns to the left.</t>
        </r>
      </text>
    </comment>
    <comment ref="O3" authorId="0" shapeId="0" xr:uid="{EE667111-D5DF-4232-BB19-B6C676A7371B}">
      <text>
        <r>
          <rPr>
            <b/>
            <sz val="11"/>
            <color indexed="81"/>
            <rFont val="Tahoma"/>
            <family val="2"/>
          </rPr>
          <t>Author:</t>
        </r>
        <r>
          <rPr>
            <sz val="11"/>
            <color indexed="81"/>
            <rFont val="Tahoma"/>
            <family val="2"/>
          </rPr>
          <t xml:space="preserve">
These percentages allow the user to explore the impact of cost reductions that result from a mass retrofit approach in which the process is systemized and economies of scale of 50% and more can be achieved.  </t>
        </r>
      </text>
    </comment>
    <comment ref="F26" authorId="0" shapeId="0" xr:uid="{02785949-0FEC-46D6-A6BD-D64240892DF7}">
      <text>
        <r>
          <rPr>
            <b/>
            <sz val="11"/>
            <color indexed="81"/>
            <rFont val="Tahoma"/>
            <family val="2"/>
          </rPr>
          <t>Note:</t>
        </r>
        <r>
          <rPr>
            <sz val="11"/>
            <color indexed="81"/>
            <rFont val="Tahoma"/>
            <family val="2"/>
          </rPr>
          <t xml:space="preserve">
Induced effects NOT included.
</t>
        </r>
      </text>
    </comment>
    <comment ref="H31" authorId="0" shapeId="0" xr:uid="{D0F4D388-BB65-4BFA-8859-946227D6D3D0}">
      <text>
        <r>
          <rPr>
            <b/>
            <sz val="11"/>
            <color indexed="81"/>
            <rFont val="Tahoma"/>
            <family val="2"/>
          </rPr>
          <t>Author:</t>
        </r>
        <r>
          <rPr>
            <sz val="11"/>
            <color indexed="81"/>
            <rFont val="Tahoma"/>
            <family val="2"/>
          </rPr>
          <t xml:space="preserve">
The value of savings is the energy saved multiplied by the post retrofit prices entered in the green cells above. The Value of Savings will only be equal to the difference between the Before and After energy costs if the post retrofit prices are the same as the current prices assumed: $0.31  per m3 for gas, 11.8 cents per kWh for electricity, and $0.74 per Litre for fuel oil.</t>
        </r>
      </text>
    </comment>
  </commentList>
</comments>
</file>

<file path=xl/sharedStrings.xml><?xml version="1.0" encoding="utf-8"?>
<sst xmlns="http://schemas.openxmlformats.org/spreadsheetml/2006/main" count="913" uniqueCount="224">
  <si>
    <t>Wholesale Trade</t>
  </si>
  <si>
    <t>Retail Trade</t>
  </si>
  <si>
    <t>Transportation and Warehousing</t>
  </si>
  <si>
    <t>Information and Cultural Industries</t>
  </si>
  <si>
    <t>Educational Services</t>
  </si>
  <si>
    <t>Health Care and Social Assistance</t>
  </si>
  <si>
    <t>Arts, Entertainment and Recreation</t>
  </si>
  <si>
    <t>Accommodation and Food Services</t>
  </si>
  <si>
    <t>Other Services</t>
  </si>
  <si>
    <t>Natural Gas</t>
  </si>
  <si>
    <t>Space Heating</t>
  </si>
  <si>
    <t>Space Cooling</t>
  </si>
  <si>
    <t>Auxiliary Motors</t>
  </si>
  <si>
    <t>Auxiliary Equipment</t>
  </si>
  <si>
    <t>Water Heating</t>
  </si>
  <si>
    <t>Electricity</t>
  </si>
  <si>
    <t>Lighting</t>
  </si>
  <si>
    <t>Light Fuel Oil and Kerosene</t>
  </si>
  <si>
    <t>Heavy Fuel Oil</t>
  </si>
  <si>
    <t>intyear</t>
  </si>
  <si>
    <t>baseyear</t>
  </si>
  <si>
    <t>Other</t>
  </si>
  <si>
    <t>Total floor area</t>
  </si>
  <si>
    <t>Offices3</t>
  </si>
  <si>
    <t>Offices</t>
  </si>
  <si>
    <t>`</t>
  </si>
  <si>
    <t>Fuel Shares Intensities by Building Type and End Use</t>
  </si>
  <si>
    <t>Total</t>
  </si>
  <si>
    <t>Floor Area (million m2)</t>
  </si>
  <si>
    <t>Shares (percentages)</t>
  </si>
  <si>
    <t>Intensities (MJ/m2)</t>
  </si>
  <si>
    <t>Energy Intensities by Building Type and End Use (MJ/m2)</t>
  </si>
  <si>
    <t>Fuel consolidation</t>
  </si>
  <si>
    <t>Oil</t>
  </si>
  <si>
    <t>Gas</t>
  </si>
  <si>
    <t>Heat Pump Factor</t>
  </si>
  <si>
    <t>commeff</t>
  </si>
  <si>
    <t>commhp</t>
  </si>
  <si>
    <t>Lookup col numbers</t>
  </si>
  <si>
    <t>Floor areas heated with each fuel</t>
  </si>
  <si>
    <t>Total Floor Area</t>
  </si>
  <si>
    <t>Total comm energy</t>
  </si>
  <si>
    <t>Percent electric</t>
  </si>
  <si>
    <t>CI Energy Use Analysis</t>
  </si>
  <si>
    <t>Orig order</t>
  </si>
  <si>
    <t>WATER HEAT SUMMARY</t>
  </si>
  <si>
    <t>Pre</t>
  </si>
  <si>
    <t>Post</t>
  </si>
  <si>
    <t>SPACE HEAT SUMMARY</t>
  </si>
  <si>
    <t>FLOOR AREA</t>
  </si>
  <si>
    <t>Post Retrofit</t>
  </si>
  <si>
    <t>The efficiency gain for non-space and water heat end uses</t>
  </si>
  <si>
    <t>The gain in end uses converted to heat pump</t>
  </si>
  <si>
    <t>Millions of Square Metres (CEUD)</t>
  </si>
  <si>
    <t xml:space="preserve">Parameters for Defining Retofit </t>
  </si>
  <si>
    <t>Percent of stock retrofit</t>
  </si>
  <si>
    <t>Grid EF</t>
  </si>
  <si>
    <t>Energy prices post retrofit (2020$/GJ)</t>
  </si>
  <si>
    <t>Retrofit Costs</t>
  </si>
  <si>
    <t>Efficiency of heat pump system</t>
  </si>
  <si>
    <t>g/kwh</t>
  </si>
  <si>
    <t>Gas ($ per cubic metre)</t>
  </si>
  <si>
    <t>Electricity (cents per kWh)</t>
  </si>
  <si>
    <t>Oil ($ per L)</t>
  </si>
  <si>
    <t>Capital cost by archetype</t>
  </si>
  <si>
    <t>Capex (billions 2020$)</t>
  </si>
  <si>
    <t>Cost of Carbon Reductions, $/tonne CO2e</t>
  </si>
  <si>
    <t>Annual electricity savings, PJ</t>
  </si>
  <si>
    <t>With a 20 year horizon</t>
  </si>
  <si>
    <t>Savings in gas and other energy forms, PJ</t>
  </si>
  <si>
    <t>With a 30 year horizon</t>
  </si>
  <si>
    <t>Total energy savings, PJ</t>
  </si>
  <si>
    <t>Assumed discount rate</t>
  </si>
  <si>
    <t>Annual savings in fuel and electricity costs, billions 2020$</t>
  </si>
  <si>
    <t>Reduction in annual GHG emissions, Mt CO2e</t>
  </si>
  <si>
    <t>Employment Generation (person-years)</t>
  </si>
  <si>
    <t>Totals</t>
  </si>
  <si>
    <t>No. of jobs over ten year program</t>
  </si>
  <si>
    <t>Employment generator, jobs per $1 million</t>
  </si>
  <si>
    <t>Details of Results</t>
  </si>
  <si>
    <t>Source</t>
  </si>
  <si>
    <t>Energy 
(PJ)</t>
  </si>
  <si>
    <t>Annual GHG Emissions 
(Mt CO2e)</t>
  </si>
  <si>
    <t>Before</t>
  </si>
  <si>
    <t>After</t>
  </si>
  <si>
    <t>Savings</t>
  </si>
  <si>
    <t>Value of Savings</t>
  </si>
  <si>
    <t>Reduction</t>
  </si>
  <si>
    <t>Building Type</t>
  </si>
  <si>
    <t>% improvement in building thermal performance</t>
  </si>
  <si>
    <t>Plug Load</t>
  </si>
  <si>
    <t>Incremental capex for deep retrofit ($/m2)</t>
  </si>
  <si>
    <t>Space conditioning</t>
  </si>
  <si>
    <t>Change in cooling energy intensity</t>
  </si>
  <si>
    <t>Change in plug load % equipment energy intensity</t>
  </si>
  <si>
    <t>Change in HVAC auxiliary energy intensity</t>
  </si>
  <si>
    <t>Deep Retrofit and Electrification of the Canadian Commercial and Institutional Buidling Stock - A Ten Year Program</t>
  </si>
  <si>
    <t>Sq. metres retrofit (millions)</t>
  </si>
  <si>
    <t>Improvements</t>
  </si>
  <si>
    <t>Names</t>
  </si>
  <si>
    <t>Emission factor for grid electricity, kg/GJ</t>
  </si>
  <si>
    <t>gridfactor</t>
  </si>
  <si>
    <t>Thi is the current factor, user can set the post retrofit factor</t>
  </si>
  <si>
    <t>Expressed in grams per kW-hour:</t>
  </si>
  <si>
    <t>gfactorkwh</t>
  </si>
  <si>
    <t>Gas emission factor</t>
  </si>
  <si>
    <t>gasef</t>
  </si>
  <si>
    <t>Oil emission factor</t>
  </si>
  <si>
    <t>oilef</t>
  </si>
  <si>
    <t>Grid emission factor after retrofit</t>
  </si>
  <si>
    <t>ggridfactor</t>
  </si>
  <si>
    <t>User sets the value for this named cell in the main parameter sheet.</t>
  </si>
  <si>
    <t>ggfactorkwh</t>
  </si>
  <si>
    <t>Conversion to square feet from square metres</t>
  </si>
  <si>
    <t>sm2sf</t>
  </si>
  <si>
    <t>Wood emission factor, kg/GJ</t>
  </si>
  <si>
    <t>woodef</t>
  </si>
  <si>
    <t>Current gas price, $/GJ</t>
  </si>
  <si>
    <t>gprice</t>
  </si>
  <si>
    <t>These are prices now and are not user adjustable on paramter sheet but can be changed here.  They set what the current prices are so should not be changed.    The user can specify what they think prices will be post retrofit (i.e. in 2030) and it is those prices, which are adjustable on the main parameter table, that determine the value of savings</t>
  </si>
  <si>
    <t>Current electricity price, $/GJ</t>
  </si>
  <si>
    <t>eprice</t>
  </si>
  <si>
    <t>Current oil price, $/GJ</t>
  </si>
  <si>
    <t>oprice</t>
  </si>
  <si>
    <t>Current wood price, $/GJ</t>
  </si>
  <si>
    <t>wprice</t>
  </si>
  <si>
    <t>GJ per m3 of natural gas</t>
  </si>
  <si>
    <t>gaspm32gj</t>
  </si>
  <si>
    <t>GJ per Litre of heating oil</t>
  </si>
  <si>
    <t>oilp2gj</t>
  </si>
  <si>
    <t>GJ per cord of wood</t>
  </si>
  <si>
    <t>woodp2gj</t>
  </si>
  <si>
    <t>GJ per kwh of electricity</t>
  </si>
  <si>
    <t>elp2gj</t>
  </si>
  <si>
    <t>Reduction from industrialization of retrofits</t>
  </si>
  <si>
    <t>Net retrofit capex ($/m2)</t>
  </si>
  <si>
    <t>Cumulative percent of capex invested --&gt;</t>
  </si>
  <si>
    <t>Scheduling of the capex by year -- &gt;</t>
  </si>
  <si>
    <t>Total CAPEX of Retrofit Program</t>
  </si>
  <si>
    <t>Annual capital outflows, billions $</t>
  </si>
  <si>
    <t>Annual value of  fuel savings, billions$ --&gt;</t>
  </si>
  <si>
    <t>NPV, 20 year horizon, billions $</t>
  </si>
  <si>
    <t>Discount rate</t>
  </si>
  <si>
    <t>NPV, 30 year horizon, billions $</t>
  </si>
  <si>
    <t>GHG reductions, after 20 years, Mt CO2e</t>
  </si>
  <si>
    <t>Cumulative GHG reductions, Mt</t>
  </si>
  <si>
    <t>GHG reductions, after 30 years, Mt CO2e</t>
  </si>
  <si>
    <t>Cost of carbon reduction, using 20 year horizon, 2020$/tonne</t>
  </si>
  <si>
    <t>Cost of carbon reduction, using 30 year horizon, 2020 $/tonne</t>
  </si>
  <si>
    <t>Lighting intensity change</t>
  </si>
  <si>
    <t>Multi-year capital investment, billions 2020$</t>
  </si>
  <si>
    <t>Hotels and restaurants</t>
  </si>
  <si>
    <t>Total capex</t>
  </si>
  <si>
    <t>Annual capex by building type</t>
  </si>
  <si>
    <t>Total retrofit</t>
  </si>
  <si>
    <t>Hospitals and other health care</t>
  </si>
  <si>
    <t>Schools, colleges and universities</t>
  </si>
  <si>
    <t>All other commercial and institutional building types</t>
  </si>
  <si>
    <t>BUILDING GROUPS</t>
  </si>
  <si>
    <t>Capex by building group, millions of 2020$, undiscounted</t>
  </si>
  <si>
    <t>Square metres retrofit by building group, millions of square metres</t>
  </si>
  <si>
    <t>OUTPUTS:</t>
  </si>
  <si>
    <t>Current costs</t>
  </si>
  <si>
    <t>Post retrofit costs</t>
  </si>
  <si>
    <t>Annual energy costs and savings
(billions 2020$)</t>
  </si>
  <si>
    <t>Pre-retrofit</t>
  </si>
  <si>
    <t>Post-retrofit</t>
  </si>
  <si>
    <t>Floor Area by Building Type</t>
  </si>
  <si>
    <t>Pre retrofit</t>
  </si>
  <si>
    <t>Post retrofit</t>
  </si>
  <si>
    <t>Post Retrofit Intensities</t>
  </si>
  <si>
    <t>PRE Retrofit Intensities</t>
  </si>
  <si>
    <t>Energy Intensity Lookup Tables</t>
  </si>
  <si>
    <t>Yellow cells receive their values from the user input to the green cells in the &lt;&lt;Residential Deep Retrofit&gt;&gt; tab.</t>
  </si>
  <si>
    <t>Space Heat Fuel Share Lookup Tables</t>
  </si>
  <si>
    <t>Fuel Shares by Building Type and End Use</t>
  </si>
  <si>
    <t>Pre retrofit values</t>
  </si>
  <si>
    <t>Post Retrofit Values</t>
  </si>
  <si>
    <t>Water Heat Fuel Shares Lookup Tables</t>
  </si>
  <si>
    <t>Post retrofit values</t>
  </si>
  <si>
    <t>Pre-retrofit shares</t>
  </si>
  <si>
    <t>Post retrofit shares</t>
  </si>
  <si>
    <t>Equipment fuel shares lookup tables</t>
  </si>
  <si>
    <t>Energy Use</t>
  </si>
  <si>
    <t>Energy Use Calculator</t>
  </si>
  <si>
    <t>Capital Investment Scheduling, Cost of Carbon Calculation, Building Type Detail</t>
  </si>
  <si>
    <t>Values in green cells can be changed by user.</t>
  </si>
  <si>
    <t>Year 1</t>
  </si>
  <si>
    <t>Year 2</t>
  </si>
  <si>
    <t>Year 3</t>
  </si>
  <si>
    <t>Year 4</t>
  </si>
  <si>
    <t>Year 5</t>
  </si>
  <si>
    <t>Year 6</t>
  </si>
  <si>
    <t>Year 7</t>
  </si>
  <si>
    <t>Year 8</t>
  </si>
  <si>
    <t>Year 9</t>
  </si>
  <si>
    <t>Year 10</t>
  </si>
  <si>
    <t>Year 11</t>
  </si>
  <si>
    <t>Year 12</t>
  </si>
  <si>
    <t>Year 13</t>
  </si>
  <si>
    <t>Year 14</t>
  </si>
  <si>
    <t>Year 15</t>
  </si>
  <si>
    <t>Year 16</t>
  </si>
  <si>
    <t>Year 17</t>
  </si>
  <si>
    <t>Year 18</t>
  </si>
  <si>
    <t>Year 19</t>
  </si>
  <si>
    <t>Year 20</t>
  </si>
  <si>
    <t>Year 21</t>
  </si>
  <si>
    <t>Year 22</t>
  </si>
  <si>
    <t>Year 23</t>
  </si>
  <si>
    <t>Year 24</t>
  </si>
  <si>
    <t>Year 25</t>
  </si>
  <si>
    <t>Year 26</t>
  </si>
  <si>
    <t>Year 27</t>
  </si>
  <si>
    <t>Year 28</t>
  </si>
  <si>
    <t>Year 29</t>
  </si>
  <si>
    <t>Year 30</t>
  </si>
  <si>
    <t>Annual value of savings, program fully implemented, billions $</t>
  </si>
  <si>
    <t>Total annual GHG reduction, program fully implemented, Mt CO2e</t>
  </si>
  <si>
    <t>Square metres retrofit by building type, millions</t>
  </si>
  <si>
    <t>Annual sqm retrofit, by building group, millions:</t>
  </si>
  <si>
    <t>Annual capex by building group, millions $</t>
  </si>
  <si>
    <t>Annual sq m retrofit by building type</t>
  </si>
  <si>
    <t>Employment by Year, person-years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</si>
</sst>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6">
    <numFmt numFmtId="8" formatCode="&quot;$&quot;#,##0.00;[Red]\-&quot;$&quot;#,##0.00"/>
    <numFmt numFmtId="41" formatCode="_-* #,##0_-;\-* #,##0_-;_-* &quot;-&quot;_-;_-@_-"/>
    <numFmt numFmtId="44" formatCode="_-&quot;$&quot;* #,##0.00_-;\-&quot;$&quot;* #,##0.00_-;_-&quot;$&quot;* &quot;-&quot;??_-;_-@_-"/>
    <numFmt numFmtId="43" formatCode="_-* #,##0.00_-;\-* #,##0.00_-;_-* &quot;-&quot;??_-;_-@_-"/>
    <numFmt numFmtId="164" formatCode="_(* #,##0.00_);_(* \(#,##0.00\);_(* &quot;-&quot;??_);_(@_)"/>
    <numFmt numFmtId="165" formatCode="0.0"/>
    <numFmt numFmtId="166" formatCode="0.000"/>
    <numFmt numFmtId="167" formatCode="0.0%"/>
    <numFmt numFmtId="168" formatCode="_(* #,##0_);_(* \(#,##0\);_(* &quot;-&quot;??_);_(@_)"/>
    <numFmt numFmtId="169" formatCode="_-* #,##0_-;\-* #,##0_-;_-* &quot;-&quot;??_-;_-@_-"/>
    <numFmt numFmtId="170" formatCode="_(* #,##0.0_);_(* \(#,##0.0\);_(* &quot;-&quot;??_);_(@_)"/>
    <numFmt numFmtId="171" formatCode="_-* #,##0.0_-;\-* #,##0.0_-;_-* &quot;-&quot;??_-;_-@_-"/>
    <numFmt numFmtId="172" formatCode="_-&quot;$&quot;* #,##0_-;\-&quot;$&quot;* #,##0_-;_-&quot;$&quot;* &quot;-&quot;??_-;_-@_-"/>
    <numFmt numFmtId="173" formatCode="_-&quot;$&quot;* #,##0.0_-;\-&quot;$&quot;* #,##0.0_-;_-&quot;$&quot;* &quot;-&quot;??_-;_-@_-"/>
    <numFmt numFmtId="174" formatCode="0.0000"/>
    <numFmt numFmtId="175" formatCode="&quot;$&quot;#,##0.000;[Red]\-&quot;$&quot;#,##0.000"/>
  </numFmts>
  <fonts count="50"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Arial"/>
      <family val="2"/>
    </font>
    <font>
      <sz val="11"/>
      <color theme="1"/>
      <name val="Calibri"/>
      <family val="2"/>
      <scheme val="minor"/>
    </font>
    <font>
      <b/>
      <sz val="11"/>
      <color theme="0"/>
      <name val="Calibri"/>
      <family val="2"/>
      <scheme val="minor"/>
    </font>
    <font>
      <b/>
      <sz val="11"/>
      <color theme="1"/>
      <name val="Calibri"/>
      <family val="2"/>
      <scheme val="minor"/>
    </font>
    <font>
      <sz val="10"/>
      <name val="Verdana"/>
      <family val="2"/>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b/>
      <sz val="9"/>
      <color theme="1"/>
      <name val="Calibri"/>
      <family val="2"/>
      <scheme val="minor"/>
    </font>
    <font>
      <sz val="9"/>
      <color theme="1"/>
      <name val="Calibri"/>
      <family val="2"/>
      <scheme val="minor"/>
    </font>
    <font>
      <u/>
      <sz val="11"/>
      <color theme="6"/>
      <name val="Calibri"/>
      <family val="2"/>
    </font>
    <font>
      <u/>
      <sz val="10"/>
      <color theme="4"/>
      <name val="Calibri"/>
      <family val="2"/>
      <scheme val="minor"/>
    </font>
    <font>
      <sz val="11"/>
      <color rgb="FF9C6500"/>
      <name val="Calibri"/>
      <family val="2"/>
      <scheme val="minor"/>
    </font>
    <font>
      <b/>
      <sz val="12"/>
      <color theme="4"/>
      <name val="Calibri"/>
      <family val="2"/>
      <scheme val="minor"/>
    </font>
    <font>
      <b/>
      <sz val="18"/>
      <color theme="3"/>
      <name val="Cambria"/>
      <family val="2"/>
      <scheme val="major"/>
    </font>
    <font>
      <sz val="10"/>
      <name val="Arial"/>
      <family val="2"/>
    </font>
    <font>
      <b/>
      <sz val="16"/>
      <color theme="1"/>
      <name val="Calibri"/>
      <family val="2"/>
      <scheme val="minor"/>
    </font>
    <font>
      <b/>
      <sz val="14"/>
      <color theme="1"/>
      <name val="Calibri"/>
      <family val="2"/>
      <scheme val="minor"/>
    </font>
    <font>
      <b/>
      <sz val="12"/>
      <color theme="1"/>
      <name val="Calibri"/>
      <family val="2"/>
      <scheme val="minor"/>
    </font>
    <font>
      <sz val="8"/>
      <name val="Arial"/>
      <family val="2"/>
    </font>
    <font>
      <sz val="12"/>
      <color theme="1"/>
      <name val="Calibri"/>
      <family val="2"/>
      <scheme val="minor"/>
    </font>
    <font>
      <sz val="14"/>
      <color theme="1"/>
      <name val="Calibri"/>
      <family val="2"/>
      <scheme val="minor"/>
    </font>
    <font>
      <b/>
      <sz val="11"/>
      <color indexed="81"/>
      <name val="Tahoma"/>
      <family val="2"/>
    </font>
    <font>
      <sz val="11"/>
      <color indexed="81"/>
      <name val="Tahoma"/>
      <family val="2"/>
    </font>
    <font>
      <b/>
      <sz val="26"/>
      <color theme="1"/>
      <name val="Calibri"/>
      <family val="2"/>
      <scheme val="minor"/>
    </font>
    <font>
      <sz val="12"/>
      <name val="Arial"/>
      <family val="2"/>
    </font>
    <font>
      <sz val="11"/>
      <name val="Arial"/>
      <family val="2"/>
    </font>
    <font>
      <b/>
      <sz val="10"/>
      <name val="Arial"/>
      <family val="2"/>
    </font>
    <font>
      <b/>
      <sz val="11"/>
      <name val="Arial"/>
      <family val="2"/>
    </font>
    <font>
      <b/>
      <sz val="12"/>
      <name val="Arial"/>
      <family val="2"/>
    </font>
    <font>
      <b/>
      <sz val="14"/>
      <name val="Arial"/>
      <family val="2"/>
    </font>
    <font>
      <b/>
      <sz val="16"/>
      <name val="Arial"/>
      <family val="2"/>
    </font>
    <font>
      <sz val="16"/>
      <color theme="1"/>
      <name val="Calibri"/>
      <family val="2"/>
      <scheme val="minor"/>
    </font>
    <font>
      <sz val="16"/>
      <name val="Arial"/>
      <family val="2"/>
    </font>
  </fonts>
  <fills count="46">
    <fill>
      <patternFill patternType="none"/>
    </fill>
    <fill>
      <patternFill patternType="gray125"/>
    </fill>
    <fill>
      <patternFill patternType="solid">
        <fgColor rgb="FFFFFF00"/>
        <bgColor indexed="64"/>
      </patternFill>
    </fill>
    <fill>
      <patternFill patternType="solid">
        <fgColor theme="3" tint="0.79998168889431442"/>
        <bgColor indexed="64"/>
      </patternFill>
    </fill>
    <fill>
      <patternFill patternType="solid">
        <fgColor theme="6" tint="0.79998168889431442"/>
        <bgColor indexed="64"/>
      </patternFill>
    </fill>
    <fill>
      <patternFill patternType="solid">
        <fgColor theme="0" tint="-0.14999847407452621"/>
        <bgColor indexed="64"/>
      </patternFill>
    </fill>
    <fill>
      <patternFill patternType="solid">
        <fgColor theme="3"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00B0F0"/>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rgb="FF92D050"/>
        <bgColor indexed="64"/>
      </patternFill>
    </fill>
    <fill>
      <patternFill patternType="solid">
        <fgColor theme="8" tint="0.79998168889431442"/>
        <bgColor indexed="64"/>
      </patternFill>
    </fill>
    <fill>
      <patternFill patternType="solid">
        <fgColor theme="6" tint="0.39997558519241921"/>
        <bgColor indexed="64"/>
      </patternFill>
    </fill>
    <fill>
      <patternFill patternType="solid">
        <fgColor theme="9" tint="0.79998168889431442"/>
        <bgColor indexed="64"/>
      </patternFill>
    </fill>
    <fill>
      <patternFill patternType="solid">
        <fgColor theme="9" tint="0.39997558519241921"/>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dashed">
        <color theme="0" tint="-0.24994659260841701"/>
      </bottom>
      <diagonal/>
    </border>
    <border>
      <left/>
      <right/>
      <top style="medium">
        <color theme="4"/>
      </top>
      <bottom/>
      <diagonal/>
    </border>
    <border>
      <left style="thick">
        <color theme="0"/>
      </left>
      <right style="thick">
        <color theme="0"/>
      </right>
      <top/>
      <bottom style="thin">
        <color theme="0" tint="-0.24994659260841701"/>
      </bottom>
      <diagonal/>
    </border>
    <border>
      <left/>
      <right/>
      <top/>
      <bottom style="thin">
        <color theme="0" tint="-0.249977111117893"/>
      </bottom>
      <diagonal/>
    </border>
    <border>
      <left/>
      <right/>
      <top style="thin">
        <color theme="4"/>
      </top>
      <bottom style="dashed">
        <color theme="0" tint="-0.24994659260841701"/>
      </bottom>
      <diagonal/>
    </border>
    <border>
      <left/>
      <right/>
      <top style="thin">
        <color theme="4"/>
      </top>
      <bottom style="thin">
        <color theme="0" tint="-0.2499465926084170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72">
    <xf numFmtId="0" fontId="0" fillId="0" borderId="0"/>
    <xf numFmtId="164" fontId="6" fillId="0" borderId="0" applyFont="0" applyFill="0" applyBorder="0" applyAlignment="0" applyProtection="0"/>
    <xf numFmtId="0" fontId="8" fillId="0" borderId="0"/>
    <xf numFmtId="0" fontId="8" fillId="0" borderId="0"/>
    <xf numFmtId="9" fontId="6" fillId="0" borderId="0" applyFont="0" applyFill="0" applyBorder="0" applyAlignment="0" applyProtection="0"/>
    <xf numFmtId="0" fontId="11" fillId="0" borderId="0"/>
    <xf numFmtId="41" fontId="11" fillId="0" borderId="0" applyFont="0" applyFill="0" applyBorder="0" applyAlignment="0" applyProtection="0"/>
    <xf numFmtId="0" fontId="12" fillId="0" borderId="2" applyNumberFormat="0" applyFill="0" applyAlignment="0" applyProtection="0"/>
    <xf numFmtId="0" fontId="13" fillId="0" borderId="3" applyNumberFormat="0" applyFill="0" applyAlignment="0" applyProtection="0"/>
    <xf numFmtId="0" fontId="14" fillId="0" borderId="4" applyNumberFormat="0" applyFill="0" applyAlignment="0" applyProtection="0"/>
    <xf numFmtId="0" fontId="14" fillId="0" borderId="0" applyNumberFormat="0" applyFill="0" applyBorder="0" applyAlignment="0" applyProtection="0"/>
    <xf numFmtId="0" fontId="15" fillId="7" borderId="0" applyNumberFormat="0" applyBorder="0" applyAlignment="0" applyProtection="0"/>
    <xf numFmtId="0" fontId="16" fillId="8" borderId="0" applyNumberFormat="0" applyBorder="0" applyAlignment="0" applyProtection="0"/>
    <xf numFmtId="0" fontId="17" fillId="10" borderId="5" applyNumberFormat="0" applyAlignment="0" applyProtection="0"/>
    <xf numFmtId="0" fontId="18" fillId="11" borderId="6" applyNumberFormat="0" applyAlignment="0" applyProtection="0"/>
    <xf numFmtId="0" fontId="19" fillId="11" borderId="5" applyNumberFormat="0" applyAlignment="0" applyProtection="0"/>
    <xf numFmtId="0" fontId="20" fillId="0" borderId="7" applyNumberFormat="0" applyFill="0" applyAlignment="0" applyProtection="0"/>
    <xf numFmtId="0" fontId="9" fillId="12" borderId="8" applyNumberFormat="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10" fillId="0" borderId="10" applyNumberFormat="0" applyFill="0" applyAlignment="0" applyProtection="0"/>
    <xf numFmtId="0" fontId="23" fillId="14"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23" fillId="18" borderId="0" applyNumberFormat="0" applyBorder="0" applyAlignment="0" applyProtection="0"/>
    <xf numFmtId="0" fontId="5" fillId="19" borderId="0" applyNumberFormat="0" applyBorder="0" applyAlignment="0" applyProtection="0"/>
    <xf numFmtId="0" fontId="5" fillId="20" borderId="0" applyNumberFormat="0" applyBorder="0" applyAlignment="0" applyProtection="0"/>
    <xf numFmtId="0" fontId="23" fillId="22" borderId="0" applyNumberFormat="0" applyBorder="0" applyAlignment="0" applyProtection="0"/>
    <xf numFmtId="0" fontId="5" fillId="23" borderId="0" applyNumberFormat="0" applyBorder="0" applyAlignment="0" applyProtection="0"/>
    <xf numFmtId="0" fontId="5" fillId="24" borderId="0" applyNumberFormat="0" applyBorder="0" applyAlignment="0" applyProtection="0"/>
    <xf numFmtId="0" fontId="23" fillId="26" borderId="0" applyNumberFormat="0" applyBorder="0" applyAlignment="0" applyProtection="0"/>
    <xf numFmtId="0" fontId="5" fillId="27" borderId="0" applyNumberFormat="0" applyBorder="0" applyAlignment="0" applyProtection="0"/>
    <xf numFmtId="0" fontId="5" fillId="28" borderId="0" applyNumberFormat="0" applyBorder="0" applyAlignment="0" applyProtection="0"/>
    <xf numFmtId="0" fontId="23" fillId="30" borderId="0" applyNumberFormat="0" applyBorder="0" applyAlignment="0" applyProtection="0"/>
    <xf numFmtId="0" fontId="5" fillId="31" borderId="0" applyNumberFormat="0" applyBorder="0" applyAlignment="0" applyProtection="0"/>
    <xf numFmtId="0" fontId="5" fillId="32" borderId="0" applyNumberFormat="0" applyBorder="0" applyAlignment="0" applyProtection="0"/>
    <xf numFmtId="0" fontId="23" fillId="34" borderId="0" applyNumberFormat="0" applyBorder="0" applyAlignment="0" applyProtection="0"/>
    <xf numFmtId="0" fontId="5" fillId="35" borderId="0" applyNumberFormat="0" applyBorder="0" applyAlignment="0" applyProtection="0"/>
    <xf numFmtId="0" fontId="5" fillId="36" borderId="0" applyNumberFormat="0" applyBorder="0" applyAlignment="0" applyProtection="0"/>
    <xf numFmtId="0" fontId="5" fillId="0" borderId="0"/>
    <xf numFmtId="0" fontId="24" fillId="0" borderId="2" applyNumberFormat="0" applyProtection="0">
      <alignment wrapText="1"/>
    </xf>
    <xf numFmtId="0" fontId="25" fillId="0" borderId="11" applyNumberFormat="0" applyFont="0" applyProtection="0">
      <alignment wrapText="1"/>
    </xf>
    <xf numFmtId="9" fontId="5" fillId="0" borderId="0" applyFont="0" applyFill="0" applyBorder="0" applyAlignment="0" applyProtection="0"/>
    <xf numFmtId="0" fontId="23" fillId="17" borderId="0" applyNumberFormat="0" applyBorder="0" applyAlignment="0" applyProtection="0"/>
    <xf numFmtId="0" fontId="23" fillId="21" borderId="0" applyNumberFormat="0" applyBorder="0" applyAlignment="0" applyProtection="0"/>
    <xf numFmtId="0" fontId="23" fillId="25" borderId="0" applyNumberFormat="0" applyBorder="0" applyAlignment="0" applyProtection="0"/>
    <xf numFmtId="0" fontId="23" fillId="29" borderId="0" applyNumberFormat="0" applyBorder="0" applyAlignment="0" applyProtection="0"/>
    <xf numFmtId="0" fontId="23" fillId="33" borderId="0" applyNumberFormat="0" applyBorder="0" applyAlignment="0" applyProtection="0"/>
    <xf numFmtId="0" fontId="23" fillId="37" borderId="0" applyNumberFormat="0" applyBorder="0" applyAlignment="0" applyProtection="0"/>
    <xf numFmtId="0" fontId="26" fillId="0" borderId="0" applyNumberFormat="0" applyFill="0" applyBorder="0" applyAlignment="0" applyProtection="0">
      <alignment vertical="top"/>
      <protection locked="0"/>
    </xf>
    <xf numFmtId="0" fontId="25" fillId="0" borderId="0" applyNumberFormat="0" applyFill="0" applyBorder="0" applyAlignment="0" applyProtection="0"/>
    <xf numFmtId="0" fontId="25" fillId="0" borderId="0" applyNumberFormat="0" applyProtection="0">
      <alignment vertical="top" wrapText="1"/>
    </xf>
    <xf numFmtId="0" fontId="25" fillId="0" borderId="12" applyNumberFormat="0" applyProtection="0">
      <alignment vertical="top" wrapText="1"/>
    </xf>
    <xf numFmtId="0" fontId="24" fillId="0" borderId="13" applyNumberFormat="0" applyProtection="0">
      <alignment horizontal="left" wrapText="1"/>
    </xf>
    <xf numFmtId="0" fontId="27" fillId="0" borderId="0" applyNumberFormat="0" applyFill="0" applyBorder="0" applyAlignment="0" applyProtection="0">
      <alignment vertical="top"/>
      <protection locked="0"/>
    </xf>
    <xf numFmtId="0" fontId="28" fillId="9" borderId="0" applyNumberFormat="0" applyBorder="0" applyAlignment="0" applyProtection="0"/>
    <xf numFmtId="0" fontId="6" fillId="0" borderId="0"/>
    <xf numFmtId="0" fontId="5" fillId="13" borderId="9" applyNumberFormat="0" applyFont="0" applyAlignment="0" applyProtection="0"/>
    <xf numFmtId="0" fontId="24" fillId="0" borderId="14" applyNumberFormat="0" applyProtection="0">
      <alignment wrapText="1"/>
    </xf>
    <xf numFmtId="0" fontId="25" fillId="0" borderId="15" applyNumberFormat="0" applyFont="0" applyFill="0" applyProtection="0">
      <alignment wrapText="1"/>
    </xf>
    <xf numFmtId="0" fontId="24" fillId="0" borderId="16" applyNumberFormat="0" applyFill="0" applyProtection="0">
      <alignment wrapText="1"/>
    </xf>
    <xf numFmtId="0" fontId="29" fillId="0" borderId="0" applyNumberFormat="0" applyProtection="0">
      <alignment horizontal="left"/>
    </xf>
    <xf numFmtId="0" fontId="30" fillId="0" borderId="0" applyNumberFormat="0" applyFill="0" applyBorder="0" applyAlignment="0" applyProtection="0"/>
    <xf numFmtId="0" fontId="4" fillId="0" borderId="0"/>
    <xf numFmtId="43" fontId="4" fillId="0" borderId="0" applyFont="0" applyFill="0" applyBorder="0" applyAlignment="0" applyProtection="0"/>
    <xf numFmtId="0" fontId="3" fillId="0" borderId="0"/>
    <xf numFmtId="9" fontId="3" fillId="0" borderId="0" applyFont="0" applyFill="0" applyBorder="0" applyAlignment="0" applyProtection="0"/>
    <xf numFmtId="44" fontId="31" fillId="0" borderId="0" applyFont="0" applyFill="0" applyBorder="0" applyAlignment="0" applyProtection="0"/>
    <xf numFmtId="0" fontId="2" fillId="0" borderId="0"/>
    <xf numFmtId="9"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cellStyleXfs>
  <cellXfs count="227">
    <xf numFmtId="0" fontId="0" fillId="0" borderId="0" xfId="0"/>
    <xf numFmtId="0" fontId="0" fillId="0" borderId="0" xfId="0" applyFill="1"/>
    <xf numFmtId="0" fontId="7" fillId="0" borderId="0" xfId="0" applyFont="1" applyAlignment="1">
      <alignment horizontal="left" indent="2"/>
    </xf>
    <xf numFmtId="0" fontId="7" fillId="0" borderId="0" xfId="0" applyFont="1" applyAlignment="1"/>
    <xf numFmtId="0" fontId="6" fillId="0" borderId="0" xfId="0" applyFont="1"/>
    <xf numFmtId="3" fontId="0" fillId="0" borderId="0" xfId="0" applyNumberFormat="1"/>
    <xf numFmtId="2" fontId="0" fillId="0" borderId="0" xfId="0" applyNumberFormat="1"/>
    <xf numFmtId="1" fontId="0" fillId="0" borderId="0" xfId="0" applyNumberFormat="1"/>
    <xf numFmtId="167" fontId="0" fillId="0" borderId="0" xfId="4" applyNumberFormat="1" applyFont="1"/>
    <xf numFmtId="0" fontId="6" fillId="0" borderId="0" xfId="0" applyFont="1" applyAlignment="1">
      <alignment horizontal="left" indent="2"/>
    </xf>
    <xf numFmtId="9" fontId="0" fillId="0" borderId="0" xfId="4" applyFont="1"/>
    <xf numFmtId="0" fontId="0" fillId="0" borderId="0" xfId="0" applyAlignment="1">
      <alignment wrapText="1"/>
    </xf>
    <xf numFmtId="0" fontId="0" fillId="0" borderId="1" xfId="0" applyBorder="1"/>
    <xf numFmtId="0" fontId="6" fillId="0" borderId="1" xfId="0" applyFont="1" applyBorder="1"/>
    <xf numFmtId="3" fontId="0" fillId="0" borderId="1" xfId="0" applyNumberFormat="1" applyBorder="1"/>
    <xf numFmtId="0" fontId="0" fillId="3" borderId="1" xfId="0" applyFill="1" applyBorder="1"/>
    <xf numFmtId="0" fontId="0" fillId="3" borderId="1" xfId="0" applyFill="1" applyBorder="1" applyAlignment="1">
      <alignment vertical="top" wrapText="1"/>
    </xf>
    <xf numFmtId="0" fontId="0" fillId="4" borderId="1" xfId="0" applyFill="1" applyBorder="1"/>
    <xf numFmtId="0" fontId="0" fillId="4" borderId="1" xfId="0" applyFill="1" applyBorder="1" applyAlignment="1">
      <alignment vertical="top" wrapText="1"/>
    </xf>
    <xf numFmtId="168" fontId="0" fillId="4" borderId="1" xfId="0" applyNumberFormat="1" applyFill="1" applyBorder="1"/>
    <xf numFmtId="0" fontId="0" fillId="5" borderId="1" xfId="0" applyFill="1" applyBorder="1"/>
    <xf numFmtId="0" fontId="6" fillId="5" borderId="1" xfId="0" applyFont="1" applyFill="1" applyBorder="1"/>
    <xf numFmtId="0" fontId="6" fillId="0" borderId="0" xfId="0" applyFont="1" applyFill="1" applyBorder="1" applyAlignment="1">
      <alignment horizontal="left" indent="2"/>
    </xf>
    <xf numFmtId="0" fontId="0" fillId="0" borderId="0" xfId="0" applyAlignment="1"/>
    <xf numFmtId="0" fontId="6" fillId="0" borderId="0" xfId="0" applyFont="1" applyAlignment="1"/>
    <xf numFmtId="0" fontId="0" fillId="6" borderId="0" xfId="0" applyFill="1"/>
    <xf numFmtId="0" fontId="6" fillId="6" borderId="0" xfId="0" applyFont="1" applyFill="1" applyAlignment="1">
      <alignment horizontal="left" indent="2"/>
    </xf>
    <xf numFmtId="0" fontId="6" fillId="6" borderId="0" xfId="0" applyFont="1" applyFill="1" applyBorder="1" applyAlignment="1">
      <alignment horizontal="left" indent="2"/>
    </xf>
    <xf numFmtId="0" fontId="7" fillId="6" borderId="0" xfId="0" applyFont="1" applyFill="1" applyAlignment="1">
      <alignment horizontal="left" indent="2"/>
    </xf>
    <xf numFmtId="168" fontId="6" fillId="0" borderId="0" xfId="1" applyNumberFormat="1" applyFont="1" applyAlignment="1">
      <alignment horizontal="left" indent="2"/>
    </xf>
    <xf numFmtId="164" fontId="0" fillId="4" borderId="1" xfId="0" applyNumberFormat="1" applyFill="1" applyBorder="1"/>
    <xf numFmtId="0" fontId="7" fillId="0" borderId="1" xfId="0" applyFont="1" applyBorder="1" applyAlignment="1">
      <alignment horizontal="left" indent="2"/>
    </xf>
    <xf numFmtId="168" fontId="0" fillId="0" borderId="1" xfId="1" applyNumberFormat="1" applyFont="1" applyBorder="1"/>
    <xf numFmtId="0" fontId="6" fillId="0" borderId="1" xfId="0" applyFont="1" applyBorder="1" applyAlignment="1">
      <alignment horizontal="left" indent="2"/>
    </xf>
    <xf numFmtId="0" fontId="6" fillId="4" borderId="1" xfId="0" applyFont="1" applyFill="1" applyBorder="1" applyAlignment="1">
      <alignment vertical="top" wrapText="1"/>
    </xf>
    <xf numFmtId="0" fontId="0" fillId="39" borderId="1" xfId="0" applyFill="1" applyBorder="1"/>
    <xf numFmtId="166" fontId="0" fillId="39" borderId="1" xfId="0" applyNumberFormat="1" applyFill="1" applyBorder="1"/>
    <xf numFmtId="0" fontId="7" fillId="39" borderId="1" xfId="0" applyFont="1" applyFill="1" applyBorder="1" applyAlignment="1">
      <alignment horizontal="left" indent="2"/>
    </xf>
    <xf numFmtId="167" fontId="0" fillId="39" borderId="1" xfId="4" applyNumberFormat="1" applyFont="1" applyFill="1" applyBorder="1"/>
    <xf numFmtId="0" fontId="6" fillId="39" borderId="1" xfId="0" applyFont="1" applyFill="1" applyBorder="1" applyAlignment="1">
      <alignment horizontal="left" indent="2"/>
    </xf>
    <xf numFmtId="0" fontId="6" fillId="39" borderId="1" xfId="0" applyFont="1" applyFill="1" applyBorder="1"/>
    <xf numFmtId="9" fontId="0" fillId="2" borderId="1" xfId="4" applyFont="1" applyFill="1" applyBorder="1"/>
    <xf numFmtId="9" fontId="0" fillId="6" borderId="1" xfId="4" applyFont="1" applyFill="1" applyBorder="1"/>
    <xf numFmtId="165" fontId="0" fillId="39" borderId="1" xfId="0" applyNumberFormat="1" applyFill="1" applyBorder="1"/>
    <xf numFmtId="170" fontId="0" fillId="39" borderId="1" xfId="1" applyNumberFormat="1" applyFont="1" applyFill="1" applyBorder="1"/>
    <xf numFmtId="9" fontId="0" fillId="0" borderId="0" xfId="4" applyFont="1" applyBorder="1"/>
    <xf numFmtId="9" fontId="0" fillId="4" borderId="1" xfId="4" applyFont="1" applyFill="1" applyBorder="1"/>
    <xf numFmtId="167" fontId="0" fillId="0" borderId="1" xfId="0" applyNumberFormat="1" applyBorder="1"/>
    <xf numFmtId="168" fontId="0" fillId="0" borderId="1" xfId="0" applyNumberFormat="1" applyBorder="1"/>
    <xf numFmtId="9" fontId="0" fillId="0" borderId="1" xfId="4" applyFont="1" applyBorder="1"/>
    <xf numFmtId="0" fontId="7" fillId="40" borderId="1" xfId="0" applyFont="1" applyFill="1" applyBorder="1" applyAlignment="1">
      <alignment horizontal="left" indent="2"/>
    </xf>
    <xf numFmtId="2" fontId="0" fillId="40" borderId="1" xfId="0" applyNumberFormat="1" applyFill="1" applyBorder="1"/>
    <xf numFmtId="0" fontId="6" fillId="40" borderId="1" xfId="0" applyFont="1" applyFill="1" applyBorder="1" applyAlignment="1">
      <alignment horizontal="left" indent="2"/>
    </xf>
    <xf numFmtId="0" fontId="0" fillId="40" borderId="1" xfId="0" applyFill="1" applyBorder="1"/>
    <xf numFmtId="0" fontId="6" fillId="0" borderId="1" xfId="56" applyBorder="1"/>
    <xf numFmtId="0" fontId="2" fillId="0" borderId="0" xfId="68"/>
    <xf numFmtId="0" fontId="2" fillId="0" borderId="0" xfId="68" applyAlignment="1">
      <alignment wrapText="1"/>
    </xf>
    <xf numFmtId="0" fontId="10" fillId="0" borderId="1" xfId="68" applyFont="1" applyBorder="1" applyAlignment="1">
      <alignment horizontal="center" vertical="center" wrapText="1"/>
    </xf>
    <xf numFmtId="171" fontId="2" fillId="0" borderId="1" xfId="68" applyNumberFormat="1" applyBorder="1"/>
    <xf numFmtId="0" fontId="33" fillId="0" borderId="0" xfId="68" applyFont="1" applyBorder="1" applyAlignment="1">
      <alignment horizontal="center" vertical="center" wrapText="1"/>
    </xf>
    <xf numFmtId="169" fontId="2" fillId="0" borderId="0" xfId="68" applyNumberFormat="1" applyBorder="1"/>
    <xf numFmtId="44" fontId="0" fillId="0" borderId="0" xfId="71" applyFont="1" applyBorder="1" applyProtection="1"/>
    <xf numFmtId="171" fontId="2" fillId="0" borderId="0" xfId="68" applyNumberFormat="1" applyBorder="1"/>
    <xf numFmtId="173" fontId="2" fillId="0" borderId="0" xfId="68" applyNumberFormat="1" applyBorder="1"/>
    <xf numFmtId="169" fontId="0" fillId="0" borderId="0" xfId="70" applyNumberFormat="1" applyFont="1" applyBorder="1" applyProtection="1"/>
    <xf numFmtId="172" fontId="2" fillId="0" borderId="0" xfId="68" applyNumberFormat="1" applyBorder="1"/>
    <xf numFmtId="0" fontId="0" fillId="3" borderId="1" xfId="0" applyFill="1" applyBorder="1" applyAlignment="1">
      <alignment wrapText="1"/>
    </xf>
    <xf numFmtId="0" fontId="6" fillId="3" borderId="1" xfId="0" applyFont="1" applyFill="1" applyBorder="1"/>
    <xf numFmtId="2" fontId="0" fillId="2" borderId="0" xfId="0" applyNumberFormat="1" applyFill="1"/>
    <xf numFmtId="0" fontId="2" fillId="0" borderId="1" xfId="68" applyBorder="1"/>
    <xf numFmtId="9" fontId="0" fillId="0" borderId="1" xfId="69" applyFont="1" applyBorder="1"/>
    <xf numFmtId="1" fontId="2" fillId="0" borderId="1" xfId="68" applyNumberFormat="1" applyBorder="1"/>
    <xf numFmtId="174" fontId="2" fillId="0" borderId="1" xfId="68" applyNumberFormat="1" applyBorder="1"/>
    <xf numFmtId="174" fontId="2" fillId="0" borderId="0" xfId="68" applyNumberFormat="1"/>
    <xf numFmtId="0" fontId="2" fillId="0" borderId="0" xfId="68" applyFill="1"/>
    <xf numFmtId="9" fontId="2" fillId="0" borderId="1" xfId="68" applyNumberFormat="1" applyBorder="1"/>
    <xf numFmtId="173" fontId="2" fillId="2" borderId="1" xfId="68" applyNumberFormat="1" applyFill="1" applyBorder="1"/>
    <xf numFmtId="44" fontId="2" fillId="0" borderId="1" xfId="68" applyNumberFormat="1" applyBorder="1"/>
    <xf numFmtId="44" fontId="2" fillId="2" borderId="1" xfId="68" applyNumberFormat="1" applyFill="1" applyBorder="1"/>
    <xf numFmtId="169" fontId="0" fillId="2" borderId="1" xfId="70" applyNumberFormat="1" applyFont="1" applyFill="1" applyBorder="1"/>
    <xf numFmtId="8" fontId="2" fillId="0" borderId="1" xfId="68" applyNumberFormat="1" applyBorder="1"/>
    <xf numFmtId="10" fontId="0" fillId="2" borderId="1" xfId="69" applyNumberFormat="1" applyFont="1" applyFill="1" applyBorder="1"/>
    <xf numFmtId="169" fontId="36" fillId="0" borderId="1" xfId="70" applyNumberFormat="1" applyFont="1" applyBorder="1"/>
    <xf numFmtId="175" fontId="2" fillId="0" borderId="1" xfId="68" applyNumberFormat="1" applyBorder="1"/>
    <xf numFmtId="8" fontId="2" fillId="0" borderId="0" xfId="68" applyNumberFormat="1"/>
    <xf numFmtId="0" fontId="2" fillId="0" borderId="1" xfId="68" applyBorder="1"/>
    <xf numFmtId="9" fontId="0" fillId="41" borderId="1" xfId="69" applyFont="1" applyFill="1" applyBorder="1" applyProtection="1">
      <protection locked="0"/>
    </xf>
    <xf numFmtId="0" fontId="1" fillId="0" borderId="0" xfId="68" applyFont="1"/>
    <xf numFmtId="0" fontId="2" fillId="0" borderId="0" xfId="68" applyBorder="1"/>
    <xf numFmtId="0" fontId="1" fillId="0" borderId="1" xfId="68" applyFont="1" applyBorder="1"/>
    <xf numFmtId="43" fontId="2" fillId="0" borderId="0" xfId="68" applyNumberFormat="1"/>
    <xf numFmtId="0" fontId="40" fillId="0" borderId="0" xfId="68" applyFont="1"/>
    <xf numFmtId="169" fontId="36" fillId="5" borderId="1" xfId="70" applyNumberFormat="1" applyFont="1" applyFill="1" applyBorder="1" applyProtection="1"/>
    <xf numFmtId="173" fontId="36" fillId="5" borderId="1" xfId="68" applyNumberFormat="1" applyFont="1" applyFill="1" applyBorder="1"/>
    <xf numFmtId="172" fontId="42" fillId="0" borderId="1" xfId="67" applyNumberFormat="1" applyFont="1" applyFill="1" applyBorder="1" applyProtection="1"/>
    <xf numFmtId="167" fontId="41" fillId="41" borderId="1" xfId="69" applyNumberFormat="1" applyFont="1" applyFill="1" applyBorder="1" applyProtection="1">
      <protection locked="0"/>
    </xf>
    <xf numFmtId="169" fontId="41" fillId="0" borderId="1" xfId="70" applyNumberFormat="1" applyFont="1" applyBorder="1" applyAlignment="1" applyProtection="1">
      <alignment horizontal="center" vertical="center"/>
    </xf>
    <xf numFmtId="44" fontId="36" fillId="0" borderId="1" xfId="68" applyNumberFormat="1" applyFont="1" applyBorder="1" applyAlignment="1">
      <alignment horizontal="center" vertical="center"/>
    </xf>
    <xf numFmtId="0" fontId="43" fillId="0" borderId="1" xfId="0" applyFont="1" applyBorder="1" applyAlignment="1">
      <alignment horizontal="left" indent="2"/>
    </xf>
    <xf numFmtId="165" fontId="43" fillId="0" borderId="1" xfId="0" applyNumberFormat="1" applyFont="1" applyBorder="1"/>
    <xf numFmtId="0" fontId="6" fillId="0" borderId="1" xfId="0" applyFont="1" applyBorder="1" applyAlignment="1">
      <alignment horizontal="center"/>
    </xf>
    <xf numFmtId="0" fontId="43" fillId="0" borderId="0" xfId="0" applyFont="1"/>
    <xf numFmtId="0" fontId="44" fillId="0" borderId="0" xfId="0" applyFont="1"/>
    <xf numFmtId="0" fontId="45" fillId="0" borderId="0" xfId="0" applyFont="1"/>
    <xf numFmtId="0" fontId="46" fillId="0" borderId="0" xfId="0" applyFont="1"/>
    <xf numFmtId="0" fontId="47" fillId="0" borderId="0" xfId="0" applyFont="1"/>
    <xf numFmtId="0" fontId="45" fillId="5" borderId="1" xfId="0" applyFont="1" applyFill="1" applyBorder="1"/>
    <xf numFmtId="0" fontId="0" fillId="0" borderId="1" xfId="0" applyFill="1" applyBorder="1"/>
    <xf numFmtId="0" fontId="6" fillId="4" borderId="1" xfId="0" applyFont="1" applyFill="1" applyBorder="1"/>
    <xf numFmtId="9" fontId="0" fillId="0" borderId="20" xfId="4" applyFont="1" applyBorder="1"/>
    <xf numFmtId="168" fontId="0" fillId="0" borderId="20" xfId="0" applyNumberFormat="1" applyBorder="1"/>
    <xf numFmtId="9" fontId="0" fillId="40" borderId="1" xfId="4" applyFont="1" applyFill="1" applyBorder="1"/>
    <xf numFmtId="0" fontId="45" fillId="40" borderId="1" xfId="0" applyFont="1" applyFill="1" applyBorder="1"/>
    <xf numFmtId="0" fontId="0" fillId="40" borderId="1" xfId="0" applyFill="1" applyBorder="1" applyAlignment="1">
      <alignment wrapText="1"/>
    </xf>
    <xf numFmtId="0" fontId="0" fillId="40" borderId="1" xfId="0" applyFill="1" applyBorder="1" applyAlignment="1">
      <alignment vertical="top" wrapText="1"/>
    </xf>
    <xf numFmtId="0" fontId="6" fillId="40" borderId="1" xfId="0" applyFont="1" applyFill="1" applyBorder="1" applyAlignment="1">
      <alignment vertical="top" wrapText="1"/>
    </xf>
    <xf numFmtId="0" fontId="43" fillId="40" borderId="1" xfId="0" applyFont="1" applyFill="1" applyBorder="1"/>
    <xf numFmtId="0" fontId="6" fillId="40" borderId="1" xfId="0" applyFont="1" applyFill="1" applyBorder="1"/>
    <xf numFmtId="3" fontId="0" fillId="40" borderId="1" xfId="0" applyNumberFormat="1" applyFill="1" applyBorder="1"/>
    <xf numFmtId="3" fontId="0" fillId="4" borderId="1" xfId="0" applyNumberFormat="1" applyFill="1" applyBorder="1"/>
    <xf numFmtId="0" fontId="43" fillId="4" borderId="1" xfId="0" applyFont="1" applyFill="1" applyBorder="1"/>
    <xf numFmtId="0" fontId="0" fillId="4" borderId="1" xfId="0" applyFill="1" applyBorder="1" applyAlignment="1">
      <alignment wrapText="1"/>
    </xf>
    <xf numFmtId="3" fontId="0" fillId="0" borderId="0" xfId="0" applyNumberFormat="1" applyFill="1" applyBorder="1"/>
    <xf numFmtId="9" fontId="0" fillId="40" borderId="1" xfId="0" applyNumberFormat="1" applyFill="1" applyBorder="1"/>
    <xf numFmtId="0" fontId="6" fillId="4" borderId="1" xfId="0" applyFont="1" applyFill="1" applyBorder="1" applyAlignment="1">
      <alignment horizontal="left" indent="2"/>
    </xf>
    <xf numFmtId="0" fontId="7" fillId="4" borderId="1" xfId="0" applyFont="1" applyFill="1" applyBorder="1" applyAlignment="1">
      <alignment horizontal="left" indent="2"/>
    </xf>
    <xf numFmtId="9" fontId="0" fillId="45" borderId="1" xfId="4" applyFont="1" applyFill="1" applyBorder="1"/>
    <xf numFmtId="164" fontId="0" fillId="40" borderId="1" xfId="1" applyFont="1" applyFill="1" applyBorder="1"/>
    <xf numFmtId="164" fontId="0" fillId="40" borderId="1" xfId="1" applyFont="1" applyFill="1" applyBorder="1" applyAlignment="1">
      <alignment horizontal="right"/>
    </xf>
    <xf numFmtId="2" fontId="6" fillId="0" borderId="0" xfId="0" applyNumberFormat="1" applyFont="1"/>
    <xf numFmtId="0" fontId="32" fillId="0" borderId="0" xfId="0" applyFont="1"/>
    <xf numFmtId="0" fontId="1" fillId="40" borderId="1" xfId="68" applyFont="1" applyFill="1" applyBorder="1"/>
    <xf numFmtId="0" fontId="2" fillId="40" borderId="1" xfId="68" applyFill="1" applyBorder="1"/>
    <xf numFmtId="168" fontId="2" fillId="40" borderId="1" xfId="1" applyNumberFormat="1" applyFont="1" applyFill="1" applyBorder="1"/>
    <xf numFmtId="0" fontId="10" fillId="40" borderId="1" xfId="68" applyFont="1" applyFill="1" applyBorder="1"/>
    <xf numFmtId="0" fontId="1" fillId="40" borderId="1" xfId="68" applyFont="1" applyFill="1" applyBorder="1" applyAlignment="1">
      <alignment horizontal="left"/>
    </xf>
    <xf numFmtId="0" fontId="1" fillId="40" borderId="1" xfId="68" applyFont="1" applyFill="1" applyBorder="1" applyAlignment="1">
      <alignment horizontal="center"/>
    </xf>
    <xf numFmtId="164" fontId="2" fillId="40" borderId="1" xfId="1" applyFont="1" applyFill="1" applyBorder="1"/>
    <xf numFmtId="0" fontId="33" fillId="44" borderId="0" xfId="68" applyFont="1" applyFill="1"/>
    <xf numFmtId="0" fontId="2" fillId="44" borderId="0" xfId="68" applyFill="1"/>
    <xf numFmtId="0" fontId="10" fillId="44" borderId="1" xfId="68" applyFont="1" applyFill="1" applyBorder="1"/>
    <xf numFmtId="0" fontId="2" fillId="44" borderId="1" xfId="68" applyFill="1" applyBorder="1"/>
    <xf numFmtId="0" fontId="1" fillId="44" borderId="1" xfId="68" applyFont="1" applyFill="1" applyBorder="1"/>
    <xf numFmtId="172" fontId="2" fillId="44" borderId="1" xfId="68" applyNumberFormat="1" applyFill="1" applyBorder="1"/>
    <xf numFmtId="168" fontId="2" fillId="44" borderId="1" xfId="1" applyNumberFormat="1" applyFont="1" applyFill="1" applyBorder="1"/>
    <xf numFmtId="168" fontId="2" fillId="44" borderId="1" xfId="68" applyNumberFormat="1" applyFill="1" applyBorder="1"/>
    <xf numFmtId="164" fontId="2" fillId="44" borderId="1" xfId="68" applyNumberFormat="1" applyFill="1" applyBorder="1"/>
    <xf numFmtId="0" fontId="2" fillId="40" borderId="19" xfId="68" applyFill="1" applyBorder="1" applyAlignment="1">
      <alignment horizontal="center"/>
    </xf>
    <xf numFmtId="0" fontId="2" fillId="39" borderId="1" xfId="68" applyFill="1" applyBorder="1"/>
    <xf numFmtId="0" fontId="2" fillId="39" borderId="0" xfId="68" applyFill="1"/>
    <xf numFmtId="0" fontId="10" fillId="39" borderId="1" xfId="68" applyFont="1" applyFill="1" applyBorder="1"/>
    <xf numFmtId="0" fontId="1" fillId="39" borderId="1" xfId="68" applyFont="1" applyFill="1" applyBorder="1" applyAlignment="1">
      <alignment horizontal="center"/>
    </xf>
    <xf numFmtId="0" fontId="1" fillId="39" borderId="1" xfId="68" applyFont="1" applyFill="1" applyBorder="1"/>
    <xf numFmtId="172" fontId="2" fillId="39" borderId="1" xfId="68" applyNumberFormat="1" applyFill="1" applyBorder="1"/>
    <xf numFmtId="168" fontId="2" fillId="2" borderId="1" xfId="1" applyNumberFormat="1" applyFont="1" applyFill="1" applyBorder="1"/>
    <xf numFmtId="172" fontId="2" fillId="2" borderId="1" xfId="67" applyNumberFormat="1" applyFont="1" applyFill="1" applyBorder="1"/>
    <xf numFmtId="0" fontId="36" fillId="40" borderId="1" xfId="68" applyFont="1" applyFill="1" applyBorder="1" applyAlignment="1">
      <alignment horizontal="center" vertical="center" wrapText="1"/>
    </xf>
    <xf numFmtId="9" fontId="41" fillId="41" borderId="1" xfId="69" applyFont="1" applyFill="1" applyBorder="1" applyAlignment="1" applyProtection="1">
      <alignment horizontal="center"/>
      <protection locked="0"/>
    </xf>
    <xf numFmtId="9" fontId="41" fillId="41" borderId="1" xfId="69" applyFont="1" applyFill="1" applyBorder="1" applyAlignment="1" applyProtection="1">
      <alignment horizontal="center" vertical="center"/>
      <protection locked="0"/>
    </xf>
    <xf numFmtId="172" fontId="41" fillId="41" borderId="1" xfId="71" applyNumberFormat="1" applyFont="1" applyFill="1" applyBorder="1" applyAlignment="1" applyProtection="1">
      <alignment horizontal="center" vertical="center"/>
      <protection locked="0"/>
    </xf>
    <xf numFmtId="9" fontId="41" fillId="41" borderId="1" xfId="69" applyFont="1" applyFill="1" applyBorder="1" applyProtection="1">
      <protection locked="0"/>
    </xf>
    <xf numFmtId="172" fontId="36" fillId="42" borderId="1" xfId="68" applyNumberFormat="1" applyFont="1" applyFill="1" applyBorder="1"/>
    <xf numFmtId="169" fontId="48" fillId="0" borderId="1" xfId="68" applyNumberFormat="1" applyFont="1" applyBorder="1"/>
    <xf numFmtId="44" fontId="49" fillId="0" borderId="1" xfId="67" applyFont="1" applyBorder="1" applyProtection="1"/>
    <xf numFmtId="171" fontId="48" fillId="0" borderId="1" xfId="68" applyNumberFormat="1" applyFont="1" applyBorder="1"/>
    <xf numFmtId="170" fontId="48" fillId="0" borderId="1" xfId="1" applyNumberFormat="1" applyFont="1" applyBorder="1"/>
    <xf numFmtId="169" fontId="49" fillId="0" borderId="1" xfId="70" applyNumberFormat="1" applyFont="1" applyBorder="1" applyProtection="1"/>
    <xf numFmtId="0" fontId="48" fillId="0" borderId="0" xfId="68" applyFont="1" applyBorder="1"/>
    <xf numFmtId="172" fontId="48" fillId="0" borderId="0" xfId="68" applyNumberFormat="1" applyFont="1" applyBorder="1"/>
    <xf numFmtId="0" fontId="48" fillId="41" borderId="1" xfId="68" applyFont="1" applyFill="1" applyBorder="1" applyProtection="1">
      <protection locked="0"/>
    </xf>
    <xf numFmtId="0" fontId="36" fillId="38" borderId="1" xfId="68" applyFont="1" applyFill="1" applyBorder="1" applyAlignment="1">
      <alignment horizontal="center" vertical="center"/>
    </xf>
    <xf numFmtId="0" fontId="36" fillId="43" borderId="1" xfId="68" applyFont="1" applyFill="1" applyBorder="1" applyAlignment="1">
      <alignment horizontal="center" vertical="center" wrapText="1"/>
    </xf>
    <xf numFmtId="0" fontId="36" fillId="44" borderId="1" xfId="68" applyFont="1" applyFill="1" applyBorder="1" applyAlignment="1">
      <alignment horizontal="center" vertical="center"/>
    </xf>
    <xf numFmtId="1" fontId="36" fillId="38" borderId="1" xfId="68" applyNumberFormat="1" applyFont="1" applyFill="1" applyBorder="1" applyAlignment="1">
      <alignment horizontal="center"/>
    </xf>
    <xf numFmtId="165" fontId="36" fillId="43" borderId="1" xfId="68" applyNumberFormat="1" applyFont="1" applyFill="1" applyBorder="1" applyAlignment="1">
      <alignment horizontal="center"/>
    </xf>
    <xf numFmtId="171" fontId="36" fillId="44" borderId="1" xfId="68" applyNumberFormat="1" applyFont="1" applyFill="1" applyBorder="1" applyAlignment="1">
      <alignment horizontal="center" vertical="center"/>
    </xf>
    <xf numFmtId="1" fontId="41" fillId="38" borderId="1" xfId="70" applyNumberFormat="1" applyFont="1" applyFill="1" applyBorder="1" applyAlignment="1" applyProtection="1">
      <alignment horizontal="center"/>
    </xf>
    <xf numFmtId="0" fontId="36" fillId="0" borderId="17" xfId="68" applyFont="1" applyBorder="1" applyAlignment="1">
      <alignment horizontal="left" vertical="center"/>
    </xf>
    <xf numFmtId="0" fontId="36" fillId="0" borderId="18" xfId="68" applyFont="1" applyBorder="1" applyAlignment="1">
      <alignment horizontal="left" vertical="center"/>
    </xf>
    <xf numFmtId="0" fontId="36" fillId="0" borderId="19" xfId="68" applyFont="1" applyBorder="1" applyAlignment="1">
      <alignment horizontal="left" vertical="center"/>
    </xf>
    <xf numFmtId="0" fontId="33" fillId="0" borderId="17" xfId="68" applyFont="1" applyBorder="1" applyAlignment="1">
      <alignment horizontal="center" vertical="center" wrapText="1"/>
    </xf>
    <xf numFmtId="0" fontId="33" fillId="0" borderId="18" xfId="68" applyFont="1" applyBorder="1" applyAlignment="1">
      <alignment horizontal="center" vertical="center" wrapText="1"/>
    </xf>
    <xf numFmtId="0" fontId="33" fillId="0" borderId="19" xfId="68" applyFont="1" applyBorder="1" applyAlignment="1">
      <alignment horizontal="center" vertical="center" wrapText="1"/>
    </xf>
    <xf numFmtId="0" fontId="34" fillId="44" borderId="17" xfId="68" applyFont="1" applyFill="1" applyBorder="1" applyAlignment="1">
      <alignment horizontal="center" vertical="center" wrapText="1"/>
    </xf>
    <xf numFmtId="0" fontId="34" fillId="44" borderId="18" xfId="68" applyFont="1" applyFill="1" applyBorder="1" applyAlignment="1">
      <alignment horizontal="center" vertical="center" wrapText="1"/>
    </xf>
    <xf numFmtId="0" fontId="34" fillId="44" borderId="19" xfId="68" applyFont="1" applyFill="1" applyBorder="1" applyAlignment="1">
      <alignment horizontal="center" vertical="center" wrapText="1"/>
    </xf>
    <xf numFmtId="44" fontId="41" fillId="41" borderId="1" xfId="67" applyFont="1" applyFill="1" applyBorder="1" applyAlignment="1" applyProtection="1">
      <alignment horizontal="center" vertical="center"/>
      <protection locked="0"/>
    </xf>
    <xf numFmtId="169" fontId="41" fillId="41" borderId="1" xfId="70" applyNumberFormat="1" applyFont="1" applyFill="1" applyBorder="1" applyAlignment="1" applyProtection="1">
      <alignment horizontal="center" vertical="center"/>
      <protection locked="0"/>
    </xf>
    <xf numFmtId="0" fontId="36" fillId="40" borderId="1" xfId="68" applyFont="1" applyFill="1" applyBorder="1"/>
    <xf numFmtId="0" fontId="48" fillId="0" borderId="1" xfId="68" applyFont="1" applyBorder="1"/>
    <xf numFmtId="0" fontId="34" fillId="38" borderId="1" xfId="68" applyFont="1" applyFill="1" applyBorder="1" applyAlignment="1">
      <alignment horizontal="center" vertical="center" wrapText="1"/>
    </xf>
    <xf numFmtId="0" fontId="34" fillId="38" borderId="1" xfId="68" applyFont="1" applyFill="1" applyBorder="1" applyAlignment="1">
      <alignment horizontal="center" vertical="center"/>
    </xf>
    <xf numFmtId="0" fontId="36" fillId="3" borderId="1" xfId="68" applyFont="1" applyFill="1" applyBorder="1" applyAlignment="1">
      <alignment horizontal="center"/>
    </xf>
    <xf numFmtId="0" fontId="34" fillId="43" borderId="17" xfId="68" applyFont="1" applyFill="1" applyBorder="1" applyAlignment="1">
      <alignment horizontal="center" vertical="center" wrapText="1"/>
    </xf>
    <xf numFmtId="0" fontId="34" fillId="43" borderId="18" xfId="68" applyFont="1" applyFill="1" applyBorder="1" applyAlignment="1">
      <alignment horizontal="center" vertical="center" wrapText="1"/>
    </xf>
    <xf numFmtId="0" fontId="34" fillId="43" borderId="19" xfId="68" applyFont="1" applyFill="1" applyBorder="1" applyAlignment="1">
      <alignment horizontal="center" vertical="center" wrapText="1"/>
    </xf>
    <xf numFmtId="169" fontId="36" fillId="5" borderId="17" xfId="70" applyNumberFormat="1" applyFont="1" applyFill="1" applyBorder="1" applyProtection="1"/>
    <xf numFmtId="169" fontId="36" fillId="5" borderId="18" xfId="70" applyNumberFormat="1" applyFont="1" applyFill="1" applyBorder="1" applyProtection="1"/>
    <xf numFmtId="169" fontId="36" fillId="5" borderId="19" xfId="70" applyNumberFormat="1" applyFont="1" applyFill="1" applyBorder="1" applyProtection="1"/>
    <xf numFmtId="0" fontId="34" fillId="3" borderId="1" xfId="68" applyFont="1" applyFill="1" applyBorder="1" applyAlignment="1">
      <alignment horizontal="center" vertical="center"/>
    </xf>
    <xf numFmtId="0" fontId="36" fillId="40" borderId="1" xfId="68" applyFont="1" applyFill="1" applyBorder="1" applyAlignment="1">
      <alignment horizontal="center" vertical="center" wrapText="1"/>
    </xf>
    <xf numFmtId="0" fontId="37" fillId="0" borderId="1" xfId="68" applyFont="1" applyBorder="1"/>
    <xf numFmtId="0" fontId="32" fillId="0" borderId="1" xfId="68" applyFont="1" applyBorder="1" applyAlignment="1">
      <alignment horizontal="center" vertical="center" wrapText="1"/>
    </xf>
    <xf numFmtId="9" fontId="41" fillId="41" borderId="1" xfId="69" applyFont="1" applyFill="1" applyBorder="1" applyAlignment="1" applyProtection="1">
      <alignment horizontal="center" vertical="center"/>
      <protection locked="0"/>
    </xf>
    <xf numFmtId="171" fontId="41" fillId="41" borderId="1" xfId="70" applyNumberFormat="1" applyFont="1" applyFill="1" applyBorder="1" applyAlignment="1" applyProtection="1">
      <alignment horizontal="center" vertical="center"/>
      <protection locked="0"/>
    </xf>
    <xf numFmtId="0" fontId="36" fillId="40" borderId="17" xfId="68" applyFont="1" applyFill="1" applyBorder="1" applyAlignment="1">
      <alignment horizontal="center" vertical="center" wrapText="1"/>
    </xf>
    <xf numFmtId="0" fontId="36" fillId="40" borderId="18" xfId="68" applyFont="1" applyFill="1" applyBorder="1" applyAlignment="1">
      <alignment horizontal="center" vertical="center" wrapText="1"/>
    </xf>
    <xf numFmtId="0" fontId="36" fillId="40" borderId="19" xfId="68" applyFont="1" applyFill="1" applyBorder="1" applyAlignment="1">
      <alignment horizontal="center" vertical="center" wrapText="1"/>
    </xf>
    <xf numFmtId="0" fontId="32" fillId="0" borderId="17" xfId="68" applyFont="1" applyBorder="1" applyAlignment="1">
      <alignment horizontal="center" vertical="center"/>
    </xf>
    <xf numFmtId="0" fontId="32" fillId="0" borderId="18" xfId="68" applyFont="1" applyBorder="1" applyAlignment="1">
      <alignment horizontal="center" vertical="center"/>
    </xf>
    <xf numFmtId="0" fontId="32" fillId="0" borderId="19" xfId="68" applyFont="1" applyBorder="1" applyAlignment="1">
      <alignment horizontal="center" vertical="center"/>
    </xf>
    <xf numFmtId="0" fontId="33" fillId="0" borderId="17" xfId="68" applyFont="1" applyBorder="1" applyAlignment="1">
      <alignment horizontal="center"/>
    </xf>
    <xf numFmtId="0" fontId="33" fillId="0" borderId="18" xfId="68" applyFont="1" applyBorder="1" applyAlignment="1">
      <alignment horizontal="center"/>
    </xf>
    <xf numFmtId="0" fontId="33" fillId="0" borderId="19" xfId="68" applyFont="1" applyBorder="1" applyAlignment="1">
      <alignment horizontal="center"/>
    </xf>
    <xf numFmtId="0" fontId="10" fillId="41" borderId="1" xfId="0" applyFont="1" applyFill="1" applyBorder="1" applyAlignment="1">
      <alignment horizontal="center"/>
    </xf>
    <xf numFmtId="0" fontId="10" fillId="39" borderId="17" xfId="68" applyFont="1" applyFill="1" applyBorder="1"/>
    <xf numFmtId="0" fontId="10" fillId="39" borderId="18" xfId="68" applyFont="1" applyFill="1" applyBorder="1"/>
    <xf numFmtId="0" fontId="10" fillId="39" borderId="19" xfId="68" applyFont="1" applyFill="1" applyBorder="1"/>
    <xf numFmtId="0" fontId="10" fillId="2" borderId="17" xfId="0" applyFont="1" applyFill="1" applyBorder="1" applyAlignment="1">
      <alignment horizontal="center"/>
    </xf>
    <xf numFmtId="0" fontId="10" fillId="2" borderId="18" xfId="0" applyFont="1" applyFill="1" applyBorder="1" applyAlignment="1">
      <alignment horizontal="center"/>
    </xf>
    <xf numFmtId="0" fontId="10" fillId="2" borderId="19" xfId="0" applyFont="1" applyFill="1" applyBorder="1" applyAlignment="1">
      <alignment horizontal="center"/>
    </xf>
    <xf numFmtId="0" fontId="6" fillId="0" borderId="0" xfId="0" applyFont="1" applyAlignment="1">
      <alignment horizontal="center"/>
    </xf>
    <xf numFmtId="0" fontId="0" fillId="2" borderId="17" xfId="0" applyFill="1" applyBorder="1" applyAlignment="1">
      <alignment horizontal="center"/>
    </xf>
    <xf numFmtId="0" fontId="0" fillId="2" borderId="18" xfId="0" applyFill="1" applyBorder="1" applyAlignment="1">
      <alignment horizontal="center"/>
    </xf>
    <xf numFmtId="0" fontId="0" fillId="2" borderId="19" xfId="0" applyFill="1" applyBorder="1" applyAlignment="1">
      <alignment horizontal="center"/>
    </xf>
    <xf numFmtId="0" fontId="6" fillId="0" borderId="1" xfId="0" applyFont="1" applyBorder="1" applyAlignment="1">
      <alignment horizontal="center"/>
    </xf>
    <xf numFmtId="0" fontId="2" fillId="0" borderId="1" xfId="68" applyBorder="1" applyAlignment="1">
      <alignment horizontal="left" vertical="top" wrapText="1"/>
    </xf>
  </cellXfs>
  <cellStyles count="72">
    <cellStyle name="20% - Accent1" xfId="22" builtinId="30" customBuiltin="1"/>
    <cellStyle name="20% - Accent2" xfId="25" builtinId="34" customBuiltin="1"/>
    <cellStyle name="20% - Accent3" xfId="28" builtinId="38" customBuiltin="1"/>
    <cellStyle name="20% - Accent4" xfId="31" builtinId="42" customBuiltin="1"/>
    <cellStyle name="20% - Accent5" xfId="34" builtinId="46" customBuiltin="1"/>
    <cellStyle name="20% - Accent6" xfId="37" builtinId="50" customBuiltin="1"/>
    <cellStyle name="40% - Accent1" xfId="23" builtinId="31" customBuiltin="1"/>
    <cellStyle name="40% - Accent2" xfId="26" builtinId="35" customBuiltin="1"/>
    <cellStyle name="40% - Accent3" xfId="29" builtinId="39" customBuiltin="1"/>
    <cellStyle name="40% - Accent4" xfId="32" builtinId="43" customBuiltin="1"/>
    <cellStyle name="40% - Accent5" xfId="35" builtinId="47" customBuiltin="1"/>
    <cellStyle name="40% - Accent6" xfId="38" builtinId="51" customBuiltin="1"/>
    <cellStyle name="60% - Accent1 2" xfId="43" xr:uid="{6C5286E0-91D0-471F-8BA8-5BD74BDF829B}"/>
    <cellStyle name="60% - Accent2 2" xfId="44" xr:uid="{2625B3C9-49EE-4B94-B8E5-9B62736DCDBE}"/>
    <cellStyle name="60% - Accent3 2" xfId="45" xr:uid="{81C24B9D-F2E8-49A0-9126-3195E7035D4C}"/>
    <cellStyle name="60% - Accent4 2" xfId="46" xr:uid="{B6C450BE-5178-4C44-AA52-E90C0937A53E}"/>
    <cellStyle name="60% - Accent5 2" xfId="47" xr:uid="{D05121DF-6ABB-4996-AC63-A24DB8773977}"/>
    <cellStyle name="60% - Accent6 2" xfId="48" xr:uid="{89C7B846-C2FC-4111-B6DE-8B267001CD24}"/>
    <cellStyle name="Accent1" xfId="21" builtinId="29" customBuiltin="1"/>
    <cellStyle name="Accent2" xfId="24" builtinId="33" customBuiltin="1"/>
    <cellStyle name="Accent3" xfId="27" builtinId="37" customBuiltin="1"/>
    <cellStyle name="Accent4" xfId="30" builtinId="41" customBuiltin="1"/>
    <cellStyle name="Accent5" xfId="33" builtinId="45" customBuiltin="1"/>
    <cellStyle name="Accent6" xfId="36" builtinId="49" customBuiltin="1"/>
    <cellStyle name="Bad" xfId="12" builtinId="27" customBuiltin="1"/>
    <cellStyle name="Body: normal cell" xfId="41" xr:uid="{E9F0C092-2F31-4D4C-9252-7A42BCDA051D}"/>
    <cellStyle name="Calculation" xfId="15" builtinId="22" customBuiltin="1"/>
    <cellStyle name="Check Cell" xfId="17" builtinId="23" customBuiltin="1"/>
    <cellStyle name="Comma" xfId="1" builtinId="3"/>
    <cellStyle name="Comma [0] 2" xfId="6" xr:uid="{00000000-0005-0000-0000-000001000000}"/>
    <cellStyle name="Comma 2" xfId="64" xr:uid="{0A6B84E8-C8A8-4540-A650-A84A19568E81}"/>
    <cellStyle name="Comma 3" xfId="70" xr:uid="{492D065E-178B-43A1-8478-12466C413EC1}"/>
    <cellStyle name="Currency" xfId="67" builtinId="4"/>
    <cellStyle name="Currency 2" xfId="71" xr:uid="{A73ABB1F-CFC4-4D3B-8E32-5F28E36D44AC}"/>
    <cellStyle name="Explanatory Text" xfId="19" builtinId="53" customBuiltin="1"/>
    <cellStyle name="Followed Hyperlink 2" xfId="49" xr:uid="{F77F75CA-5105-4C10-9DE1-A15F4853ED62}"/>
    <cellStyle name="Font: Calibri, 9pt regular" xfId="50" xr:uid="{1E9415EA-4BAC-4C51-89BB-354058DA769B}"/>
    <cellStyle name="Footnotes: all except top row" xfId="51" xr:uid="{90D72297-4AD4-449C-8DA8-3F9482B7DB8A}"/>
    <cellStyle name="Footnotes: top row" xfId="52" xr:uid="{BB3E8C9D-0DF9-48F9-BF6F-8EC5E46CC239}"/>
    <cellStyle name="Good" xfId="11" builtinId="26" customBuiltin="1"/>
    <cellStyle name="Header: bottom row" xfId="40" xr:uid="{40698FD8-5F7F-4262-BF7F-45A11CD1E39E}"/>
    <cellStyle name="Header: top rows" xfId="53" xr:uid="{6BA7CC48-259F-4B12-BA43-30BF73288621}"/>
    <cellStyle name="Heading 1" xfId="7" builtinId="16" customBuiltin="1"/>
    <cellStyle name="Heading 2" xfId="8" builtinId="17" customBuiltin="1"/>
    <cellStyle name="Heading 3" xfId="9" builtinId="18" customBuiltin="1"/>
    <cellStyle name="Heading 4" xfId="10" builtinId="19" customBuiltin="1"/>
    <cellStyle name="Hyperlink 2" xfId="54" xr:uid="{A4B23E37-DC4B-44B5-8C69-BE6F0380CB8A}"/>
    <cellStyle name="Input" xfId="13" builtinId="20" customBuiltin="1"/>
    <cellStyle name="Linked Cell" xfId="16" builtinId="24" customBuiltin="1"/>
    <cellStyle name="Neutral 2" xfId="55" xr:uid="{A5CA9D2F-E559-4297-94F6-AEBC7384204E}"/>
    <cellStyle name="Normal" xfId="0" builtinId="0"/>
    <cellStyle name="Normal 2" xfId="2" xr:uid="{00000000-0005-0000-0000-000004000000}"/>
    <cellStyle name="Normal 2 2" xfId="56" xr:uid="{4A736827-71BD-4D1D-BF4F-80305DD45C77}"/>
    <cellStyle name="Normal 3" xfId="5" xr:uid="{00000000-0005-0000-0000-000005000000}"/>
    <cellStyle name="Normal 4" xfId="39" xr:uid="{4403EAE9-2324-4FB5-BA6C-14B0097A2AEC}"/>
    <cellStyle name="Normal 5" xfId="3" xr:uid="{00000000-0005-0000-0000-000006000000}"/>
    <cellStyle name="Normal 6" xfId="63" xr:uid="{C9489852-2BAE-49BF-B03E-313031A8B03E}"/>
    <cellStyle name="Normal 7" xfId="65" xr:uid="{7F41D0A1-F721-4DD0-80A0-15A5FC992D99}"/>
    <cellStyle name="Normal 8" xfId="68" xr:uid="{EC1F08D1-E746-41C5-99CB-82A301F0DF5A}"/>
    <cellStyle name="Note 2" xfId="57" xr:uid="{1143D663-F32A-4900-A7E8-45C6BAA981BF}"/>
    <cellStyle name="Output" xfId="14" builtinId="21" customBuiltin="1"/>
    <cellStyle name="Parent row" xfId="58" xr:uid="{26CE57EE-1CE0-44B2-B4A6-51C7E8B8CA90}"/>
    <cellStyle name="Percent" xfId="4" builtinId="5"/>
    <cellStyle name="Percent 2" xfId="42" xr:uid="{A922C81B-6092-4D4B-960A-2DDE5A95D1F9}"/>
    <cellStyle name="Percent 3" xfId="66" xr:uid="{ED831DE1-9E36-4A0E-93C8-2D30F1ACE5A0}"/>
    <cellStyle name="Percent 4" xfId="69" xr:uid="{CB0FBE7A-4E9C-4F10-AF9E-EAB67E63CFEA}"/>
    <cellStyle name="Section Break" xfId="59" xr:uid="{285B3967-6757-4F6A-B572-442376B26C49}"/>
    <cellStyle name="Section Break: parent row" xfId="60" xr:uid="{12F15257-FED1-4061-92D3-88E38CAC0592}"/>
    <cellStyle name="Table title" xfId="61" xr:uid="{DD333D87-BA22-42B3-8F00-7446EBB61FA4}"/>
    <cellStyle name="Title 2" xfId="62" xr:uid="{0290D67F-B620-4000-AC46-577197EE3C36}"/>
    <cellStyle name="Total" xfId="20" builtinId="25" customBuiltin="1"/>
    <cellStyle name="Warning Text" xfId="18" builtinId="11" customBuiltin="1"/>
  </cellStyles>
  <dxfs count="2">
    <dxf>
      <border>
        <left/>
        <right/>
        <top/>
        <bottom style="thick">
          <color theme="4"/>
        </bottom>
        <vertical/>
        <horizontal/>
      </border>
    </dxf>
    <dxf>
      <border>
        <left/>
        <right/>
        <top/>
        <bottom/>
        <vertical/>
        <horizontal style="dotted">
          <color theme="0" tint="-0.24994659260841701"/>
        </horizontal>
      </border>
    </dxf>
  </dxfs>
  <tableStyles count="1" defaultTableStyle="TableStyleMedium2" defaultPivotStyle="PivotStyleLight16">
    <tableStyle name="Table Style 1" pivot="0" count="2" xr9:uid="{5E90BAA7-0BD1-49F9-8E7B-B9F1193F30DD}">
      <tableStyleElement type="wholeTable" dxfId="1"/>
      <tableStyleElement type="headerRow" dxfId="0"/>
    </tableStyle>
  </tableStyles>
  <colors>
    <mruColors>
      <color rgb="FFF6F7B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oneCellAnchor>
    <xdr:from>
      <xdr:col>16</xdr:col>
      <xdr:colOff>134470</xdr:colOff>
      <xdr:row>2</xdr:row>
      <xdr:rowOff>481852</xdr:rowOff>
    </xdr:from>
    <xdr:ext cx="3585882" cy="605118"/>
    <xdr:sp macro="" textlink="">
      <xdr:nvSpPr>
        <xdr:cNvPr id="2" name="TextBox 1">
          <a:extLst>
            <a:ext uri="{FF2B5EF4-FFF2-40B4-BE49-F238E27FC236}">
              <a16:creationId xmlns:a16="http://schemas.microsoft.com/office/drawing/2014/main" id="{C7334CC8-8A20-467B-8957-B8FD575E0C55}"/>
            </a:ext>
          </a:extLst>
        </xdr:cNvPr>
        <xdr:cNvSpPr txBox="1"/>
      </xdr:nvSpPr>
      <xdr:spPr>
        <a:xfrm>
          <a:off x="13940117" y="1322293"/>
          <a:ext cx="3585882" cy="605118"/>
        </a:xfrm>
        <a:prstGeom prst="rect">
          <a:avLst/>
        </a:prstGeom>
        <a:solidFill>
          <a:srgbClr val="92D050"/>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CA" sz="2400"/>
            <a:t>Green</a:t>
          </a:r>
          <a:r>
            <a:rPr lang="en-CA" sz="2400" baseline="0"/>
            <a:t> cells are user inputs.</a:t>
          </a:r>
          <a:endParaRPr lang="en-CA" sz="2400"/>
        </a:p>
      </xdr:txBody>
    </xdr:sp>
    <xdr:clientData/>
  </xdr:oneCellAnchor>
  <xdr:twoCellAnchor>
    <xdr:from>
      <xdr:col>13</xdr:col>
      <xdr:colOff>156882</xdr:colOff>
      <xdr:row>13</xdr:row>
      <xdr:rowOff>168090</xdr:rowOff>
    </xdr:from>
    <xdr:to>
      <xdr:col>19</xdr:col>
      <xdr:colOff>145677</xdr:colOff>
      <xdr:row>35</xdr:row>
      <xdr:rowOff>11206</xdr:rowOff>
    </xdr:to>
    <xdr:sp macro="" textlink="">
      <xdr:nvSpPr>
        <xdr:cNvPr id="3" name="TextBox 2">
          <a:extLst>
            <a:ext uri="{FF2B5EF4-FFF2-40B4-BE49-F238E27FC236}">
              <a16:creationId xmlns:a16="http://schemas.microsoft.com/office/drawing/2014/main" id="{C5CBD7B9-30C9-4376-821F-A8F5308A779B}"/>
            </a:ext>
          </a:extLst>
        </xdr:cNvPr>
        <xdr:cNvSpPr txBox="1"/>
      </xdr:nvSpPr>
      <xdr:spPr>
        <a:xfrm>
          <a:off x="10959353" y="3899649"/>
          <a:ext cx="5647765" cy="5782233"/>
        </a:xfrm>
        <a:prstGeom prst="rect">
          <a:avLst/>
        </a:prstGeom>
        <a:solidFill>
          <a:schemeClr val="accent1">
            <a:lumMod val="20000"/>
            <a:lumOff val="80000"/>
          </a:schemeClr>
        </a:solidFill>
        <a:ln w="28575"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400" b="1" i="1"/>
            <a:t>Please note:</a:t>
          </a:r>
        </a:p>
        <a:p>
          <a:r>
            <a:rPr lang="en-CA" sz="1400"/>
            <a:t>THIS CALCULATOR </a:t>
          </a:r>
          <a:r>
            <a:rPr lang="en-CA" sz="1400" b="1"/>
            <a:t>USES NATIONAL CANADIAN AVERAGES FOR</a:t>
          </a:r>
          <a:r>
            <a:rPr lang="en-CA" sz="1400"/>
            <a:t> VARIABLES SUCH AS THE CARBON INTENSITY OF ELECTRICITY, MARKET SHARES OF FUEL AND ELECTRICITY, THE THERMAL EFFICIENCY OF DIFFERENT BUILDNG TYPES, FUEL AND ELECTRICITY PRICES, AND OTHER </a:t>
          </a:r>
          <a:r>
            <a:rPr lang="en-CA" sz="1400" b="1"/>
            <a:t>VARIABLES THAT VARY SIGNIFICANTLY BY PROVINCE</a:t>
          </a:r>
          <a:r>
            <a:rPr lang="en-CA" sz="1400"/>
            <a:t>.  IT IS INTENDED TO PROVIDE A BROAD BRUSH PICTURE OF THE ENERGY, EMISSIONS AND ECONOMIC DIMENSIONS OF A NATIONAL PROGRAM FOR WIDESPREAD AND DEEP RETROFITS OF EXISTING COMMERCIAL</a:t>
          </a:r>
          <a:r>
            <a:rPr lang="en-CA" sz="1400" baseline="0"/>
            <a:t> AND INSTITUTIONAL BUILDINGS IN CANADA.  </a:t>
          </a:r>
          <a:r>
            <a:rPr lang="en-CA" sz="1400"/>
            <a:t>Actual policy and investment strategies should be informed by detailed analysis of local building</a:t>
          </a:r>
          <a:r>
            <a:rPr lang="en-CA" sz="1400" baseline="0"/>
            <a:t> </a:t>
          </a:r>
          <a:r>
            <a:rPr lang="en-CA" sz="1400"/>
            <a:t>and energy commodity markets.  </a:t>
          </a:r>
        </a:p>
        <a:p>
          <a:endParaRPr lang="en-CA" sz="1400"/>
        </a:p>
        <a:p>
          <a:r>
            <a:rPr lang="en-CA" sz="1400"/>
            <a:t>All retrofits include conversion to heat pump for space heating, heat pumps for DHW (except for health care and hotels), lighting upgrade, and modernization of HVAC auxiliary equpment.  All scenarios also include an upgrade of the thermal efficiency of the building shell, but the user can set the percent reduction from current levels.</a:t>
          </a:r>
        </a:p>
        <a:p>
          <a:endParaRPr lang="en-CA" sz="1400"/>
        </a:p>
        <a:p>
          <a:r>
            <a:rPr lang="en-CA" sz="1400"/>
            <a:t>Feedback is welcome.  </a:t>
          </a:r>
        </a:p>
        <a:p>
          <a:endParaRPr lang="en-CA" sz="1400"/>
        </a:p>
        <a:p>
          <a:r>
            <a:rPr lang="en-CA" sz="1400"/>
            <a:t>Ralph Torrie</a:t>
          </a:r>
        </a:p>
        <a:p>
          <a:r>
            <a:rPr lang="en-CA" sz="1400"/>
            <a:t>rtorrie@torriesmith.com</a:t>
          </a:r>
        </a:p>
        <a:p>
          <a:r>
            <a:rPr lang="en-CA" sz="1400"/>
            <a:t>April, 2020.</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130EC4-C8A3-4995-8C87-524A5C882C88}">
  <sheetPr>
    <tabColor theme="0" tint="-0.34998626667073579"/>
  </sheetPr>
  <dimension ref="A1:Q42"/>
  <sheetViews>
    <sheetView tabSelected="1" zoomScale="85" zoomScaleNormal="85" workbookViewId="0">
      <selection activeCell="R9" sqref="R9"/>
    </sheetView>
  </sheetViews>
  <sheetFormatPr defaultRowHeight="15" x14ac:dyDescent="0.25"/>
  <cols>
    <col min="1" max="1" width="5.42578125" style="55" customWidth="1"/>
    <col min="2" max="2" width="30" style="55" customWidth="1"/>
    <col min="3" max="3" width="12.5703125" style="55" customWidth="1"/>
    <col min="4" max="4" width="14.85546875" style="55" customWidth="1"/>
    <col min="5" max="5" width="10.85546875" style="55" customWidth="1"/>
    <col min="6" max="6" width="17" style="55" customWidth="1"/>
    <col min="7" max="7" width="12.7109375" style="55" customWidth="1"/>
    <col min="8" max="8" width="12.28515625" style="55" customWidth="1"/>
    <col min="9" max="9" width="12.85546875" style="55" customWidth="1"/>
    <col min="10" max="10" width="9.7109375" style="55" customWidth="1"/>
    <col min="11" max="12" width="11" style="55" customWidth="1"/>
    <col min="13" max="13" width="10.5703125" style="55" customWidth="1"/>
    <col min="14" max="14" width="13" style="55" customWidth="1"/>
    <col min="15" max="15" width="16.5703125" style="55" customWidth="1"/>
    <col min="16" max="16" width="15.42578125" style="55" customWidth="1"/>
    <col min="17" max="17" width="14.85546875" style="55" customWidth="1"/>
    <col min="18" max="18" width="12.5703125" style="55" customWidth="1"/>
    <col min="19" max="19" width="16.28515625" style="55" customWidth="1"/>
    <col min="20" max="20" width="10.5703125" style="55" bestFit="1" customWidth="1"/>
    <col min="21" max="21" width="13.85546875" style="55" customWidth="1"/>
    <col min="22" max="22" width="30.7109375" style="55" customWidth="1"/>
    <col min="23" max="23" width="15" style="55" bestFit="1" customWidth="1"/>
    <col min="24" max="24" width="19.85546875" style="55" customWidth="1"/>
    <col min="25" max="25" width="13.28515625" style="55" bestFit="1" customWidth="1"/>
    <col min="26" max="26" width="12.42578125" style="55" customWidth="1"/>
    <col min="27" max="27" width="11.5703125" style="55" customWidth="1"/>
    <col min="28" max="30" width="9.140625" style="55"/>
    <col min="31" max="31" width="13" style="55" customWidth="1"/>
    <col min="32" max="32" width="10.7109375" style="55" customWidth="1"/>
    <col min="33" max="16384" width="9.140625" style="55"/>
  </cols>
  <sheetData>
    <row r="1" spans="1:17" ht="21" x14ac:dyDescent="0.25">
      <c r="A1" s="208" t="s">
        <v>54</v>
      </c>
      <c r="B1" s="209"/>
      <c r="C1" s="209"/>
      <c r="D1" s="209"/>
      <c r="E1" s="209"/>
      <c r="F1" s="209"/>
      <c r="G1" s="209"/>
      <c r="H1" s="209"/>
      <c r="I1" s="209"/>
      <c r="J1" s="209"/>
      <c r="K1" s="209"/>
      <c r="L1" s="209"/>
      <c r="M1" s="209"/>
      <c r="N1" s="209"/>
      <c r="O1" s="209"/>
      <c r="P1" s="210"/>
      <c r="Q1" s="56"/>
    </row>
    <row r="2" spans="1:17" s="56" customFormat="1" ht="45" customHeight="1" x14ac:dyDescent="0.25">
      <c r="A2" s="200" t="s">
        <v>88</v>
      </c>
      <c r="B2" s="200"/>
      <c r="C2" s="200" t="s">
        <v>55</v>
      </c>
      <c r="D2" s="200" t="s">
        <v>92</v>
      </c>
      <c r="E2" s="200"/>
      <c r="F2" s="200"/>
      <c r="G2" s="200"/>
      <c r="H2" s="156" t="s">
        <v>16</v>
      </c>
      <c r="I2" s="156" t="s">
        <v>90</v>
      </c>
      <c r="J2" s="156" t="s">
        <v>56</v>
      </c>
      <c r="K2" s="205" t="s">
        <v>57</v>
      </c>
      <c r="L2" s="206"/>
      <c r="M2" s="207"/>
      <c r="N2" s="205" t="s">
        <v>58</v>
      </c>
      <c r="O2" s="206"/>
      <c r="P2" s="207"/>
    </row>
    <row r="3" spans="1:17" s="56" customFormat="1" ht="89.25" customHeight="1" x14ac:dyDescent="0.25">
      <c r="A3" s="200"/>
      <c r="B3" s="200"/>
      <c r="C3" s="200"/>
      <c r="D3" s="156" t="s">
        <v>89</v>
      </c>
      <c r="E3" s="156" t="s">
        <v>59</v>
      </c>
      <c r="F3" s="156" t="s">
        <v>95</v>
      </c>
      <c r="G3" s="156" t="s">
        <v>93</v>
      </c>
      <c r="H3" s="156" t="s">
        <v>149</v>
      </c>
      <c r="I3" s="156" t="s">
        <v>94</v>
      </c>
      <c r="J3" s="156" t="s">
        <v>60</v>
      </c>
      <c r="K3" s="156" t="s">
        <v>61</v>
      </c>
      <c r="L3" s="156" t="s">
        <v>62</v>
      </c>
      <c r="M3" s="156" t="s">
        <v>63</v>
      </c>
      <c r="N3" s="156" t="s">
        <v>91</v>
      </c>
      <c r="O3" s="156" t="s">
        <v>134</v>
      </c>
      <c r="P3" s="156" t="s">
        <v>135</v>
      </c>
    </row>
    <row r="4" spans="1:17" ht="15.75" x14ac:dyDescent="0.25">
      <c r="A4" s="188" t="s">
        <v>24</v>
      </c>
      <c r="B4" s="188"/>
      <c r="C4" s="157">
        <v>0.6</v>
      </c>
      <c r="D4" s="157">
        <v>0.33</v>
      </c>
      <c r="E4" s="203">
        <v>3.5</v>
      </c>
      <c r="F4" s="157">
        <v>-0.5</v>
      </c>
      <c r="G4" s="157">
        <v>0</v>
      </c>
      <c r="H4" s="158">
        <v>-0.5</v>
      </c>
      <c r="I4" s="158">
        <v>-0.1</v>
      </c>
      <c r="J4" s="187">
        <v>125</v>
      </c>
      <c r="K4" s="186">
        <v>0.31</v>
      </c>
      <c r="L4" s="204">
        <v>11.8</v>
      </c>
      <c r="M4" s="186">
        <v>0.74</v>
      </c>
      <c r="N4" s="159">
        <v>250</v>
      </c>
      <c r="O4" s="160">
        <v>0</v>
      </c>
      <c r="P4" s="161">
        <f>N4*(1-O4)</f>
        <v>250</v>
      </c>
    </row>
    <row r="5" spans="1:17" ht="15.75" x14ac:dyDescent="0.25">
      <c r="A5" s="188" t="s">
        <v>1</v>
      </c>
      <c r="B5" s="188"/>
      <c r="C5" s="157">
        <f>C4</f>
        <v>0.6</v>
      </c>
      <c r="D5" s="157">
        <f>D4</f>
        <v>0.33</v>
      </c>
      <c r="E5" s="203"/>
      <c r="F5" s="157">
        <f>F4</f>
        <v>-0.5</v>
      </c>
      <c r="G5" s="157">
        <f>G4</f>
        <v>0</v>
      </c>
      <c r="H5" s="158">
        <f>H4</f>
        <v>-0.5</v>
      </c>
      <c r="I5" s="158">
        <f>I4</f>
        <v>-0.1</v>
      </c>
      <c r="J5" s="187"/>
      <c r="K5" s="186"/>
      <c r="L5" s="204"/>
      <c r="M5" s="186"/>
      <c r="N5" s="159">
        <f>N4</f>
        <v>250</v>
      </c>
      <c r="O5" s="160">
        <f>O4</f>
        <v>0</v>
      </c>
      <c r="P5" s="161">
        <f t="shared" ref="P5:P13" si="0">N5*(1-O5)</f>
        <v>250</v>
      </c>
    </row>
    <row r="6" spans="1:17" ht="15.75" x14ac:dyDescent="0.25">
      <c r="A6" s="188" t="s">
        <v>5</v>
      </c>
      <c r="B6" s="188"/>
      <c r="C6" s="157">
        <f t="shared" ref="C6:C13" si="1">C5</f>
        <v>0.6</v>
      </c>
      <c r="D6" s="157">
        <f t="shared" ref="D6:D13" si="2">D5</f>
        <v>0.33</v>
      </c>
      <c r="E6" s="203"/>
      <c r="F6" s="157">
        <f t="shared" ref="F6:F12" si="3">F5</f>
        <v>-0.5</v>
      </c>
      <c r="G6" s="157">
        <f t="shared" ref="G6:G12" si="4">G5</f>
        <v>0</v>
      </c>
      <c r="H6" s="158">
        <f t="shared" ref="H6:H12" si="5">H5</f>
        <v>-0.5</v>
      </c>
      <c r="I6" s="158">
        <f t="shared" ref="I6:I12" si="6">I5</f>
        <v>-0.1</v>
      </c>
      <c r="J6" s="187"/>
      <c r="K6" s="186"/>
      <c r="L6" s="204"/>
      <c r="M6" s="186"/>
      <c r="N6" s="159">
        <f t="shared" ref="N6:N12" si="7">N5</f>
        <v>250</v>
      </c>
      <c r="O6" s="160">
        <f t="shared" ref="O6:O13" si="8">O5</f>
        <v>0</v>
      </c>
      <c r="P6" s="161">
        <f t="shared" si="0"/>
        <v>250</v>
      </c>
    </row>
    <row r="7" spans="1:17" ht="15.75" x14ac:dyDescent="0.25">
      <c r="A7" s="188" t="s">
        <v>4</v>
      </c>
      <c r="B7" s="188"/>
      <c r="C7" s="157">
        <f t="shared" si="1"/>
        <v>0.6</v>
      </c>
      <c r="D7" s="157">
        <f t="shared" si="2"/>
        <v>0.33</v>
      </c>
      <c r="E7" s="203"/>
      <c r="F7" s="157">
        <f t="shared" si="3"/>
        <v>-0.5</v>
      </c>
      <c r="G7" s="157">
        <f t="shared" si="4"/>
        <v>0</v>
      </c>
      <c r="H7" s="158">
        <f t="shared" si="5"/>
        <v>-0.5</v>
      </c>
      <c r="I7" s="158">
        <f t="shared" si="6"/>
        <v>-0.1</v>
      </c>
      <c r="J7" s="187"/>
      <c r="K7" s="186"/>
      <c r="L7" s="204"/>
      <c r="M7" s="186"/>
      <c r="N7" s="159">
        <f t="shared" si="7"/>
        <v>250</v>
      </c>
      <c r="O7" s="160">
        <f t="shared" si="8"/>
        <v>0</v>
      </c>
      <c r="P7" s="161">
        <f t="shared" si="0"/>
        <v>250</v>
      </c>
    </row>
    <row r="8" spans="1:17" ht="15.75" x14ac:dyDescent="0.25">
      <c r="A8" s="188" t="s">
        <v>7</v>
      </c>
      <c r="B8" s="188"/>
      <c r="C8" s="157">
        <f t="shared" si="1"/>
        <v>0.6</v>
      </c>
      <c r="D8" s="157">
        <f t="shared" si="2"/>
        <v>0.33</v>
      </c>
      <c r="E8" s="203"/>
      <c r="F8" s="157">
        <f t="shared" si="3"/>
        <v>-0.5</v>
      </c>
      <c r="G8" s="157">
        <f t="shared" si="4"/>
        <v>0</v>
      </c>
      <c r="H8" s="158">
        <f t="shared" si="5"/>
        <v>-0.5</v>
      </c>
      <c r="I8" s="158">
        <f t="shared" si="6"/>
        <v>-0.1</v>
      </c>
      <c r="J8" s="187"/>
      <c r="K8" s="186"/>
      <c r="L8" s="204"/>
      <c r="M8" s="186"/>
      <c r="N8" s="159">
        <f t="shared" si="7"/>
        <v>250</v>
      </c>
      <c r="O8" s="160">
        <f t="shared" si="8"/>
        <v>0</v>
      </c>
      <c r="P8" s="161">
        <f t="shared" si="0"/>
        <v>250</v>
      </c>
    </row>
    <row r="9" spans="1:17" ht="15.75" x14ac:dyDescent="0.25">
      <c r="A9" s="188" t="s">
        <v>6</v>
      </c>
      <c r="B9" s="188"/>
      <c r="C9" s="157">
        <f t="shared" si="1"/>
        <v>0.6</v>
      </c>
      <c r="D9" s="157">
        <f t="shared" si="2"/>
        <v>0.33</v>
      </c>
      <c r="E9" s="203"/>
      <c r="F9" s="157">
        <f t="shared" si="3"/>
        <v>-0.5</v>
      </c>
      <c r="G9" s="157">
        <f t="shared" si="4"/>
        <v>0</v>
      </c>
      <c r="H9" s="158">
        <f t="shared" si="5"/>
        <v>-0.5</v>
      </c>
      <c r="I9" s="158">
        <f t="shared" si="6"/>
        <v>-0.1</v>
      </c>
      <c r="J9" s="187"/>
      <c r="K9" s="186"/>
      <c r="L9" s="204"/>
      <c r="M9" s="186"/>
      <c r="N9" s="159">
        <f t="shared" si="7"/>
        <v>250</v>
      </c>
      <c r="O9" s="160">
        <f t="shared" si="8"/>
        <v>0</v>
      </c>
      <c r="P9" s="161">
        <f t="shared" si="0"/>
        <v>250</v>
      </c>
    </row>
    <row r="10" spans="1:17" ht="15.75" x14ac:dyDescent="0.25">
      <c r="A10" s="188" t="s">
        <v>3</v>
      </c>
      <c r="B10" s="188"/>
      <c r="C10" s="157">
        <f t="shared" si="1"/>
        <v>0.6</v>
      </c>
      <c r="D10" s="157">
        <f t="shared" si="2"/>
        <v>0.33</v>
      </c>
      <c r="E10" s="203"/>
      <c r="F10" s="157">
        <f t="shared" si="3"/>
        <v>-0.5</v>
      </c>
      <c r="G10" s="157">
        <f t="shared" si="4"/>
        <v>0</v>
      </c>
      <c r="H10" s="158">
        <f t="shared" si="5"/>
        <v>-0.5</v>
      </c>
      <c r="I10" s="158">
        <f t="shared" si="6"/>
        <v>-0.1</v>
      </c>
      <c r="J10" s="187"/>
      <c r="K10" s="186"/>
      <c r="L10" s="204"/>
      <c r="M10" s="186"/>
      <c r="N10" s="159">
        <f t="shared" si="7"/>
        <v>250</v>
      </c>
      <c r="O10" s="160">
        <f t="shared" si="8"/>
        <v>0</v>
      </c>
      <c r="P10" s="161">
        <f t="shared" si="0"/>
        <v>250</v>
      </c>
    </row>
    <row r="11" spans="1:17" ht="15.75" x14ac:dyDescent="0.25">
      <c r="A11" s="188" t="s">
        <v>0</v>
      </c>
      <c r="B11" s="188"/>
      <c r="C11" s="157">
        <f t="shared" si="1"/>
        <v>0.6</v>
      </c>
      <c r="D11" s="157">
        <f t="shared" si="2"/>
        <v>0.33</v>
      </c>
      <c r="E11" s="203"/>
      <c r="F11" s="157">
        <f t="shared" si="3"/>
        <v>-0.5</v>
      </c>
      <c r="G11" s="157">
        <f t="shared" si="4"/>
        <v>0</v>
      </c>
      <c r="H11" s="158">
        <f t="shared" si="5"/>
        <v>-0.5</v>
      </c>
      <c r="I11" s="158">
        <f t="shared" si="6"/>
        <v>-0.1</v>
      </c>
      <c r="J11" s="187"/>
      <c r="K11" s="186"/>
      <c r="L11" s="204"/>
      <c r="M11" s="186"/>
      <c r="N11" s="159">
        <f t="shared" si="7"/>
        <v>250</v>
      </c>
      <c r="O11" s="160">
        <f t="shared" si="8"/>
        <v>0</v>
      </c>
      <c r="P11" s="161">
        <f t="shared" si="0"/>
        <v>250</v>
      </c>
    </row>
    <row r="12" spans="1:17" ht="15.75" x14ac:dyDescent="0.25">
      <c r="A12" s="188" t="s">
        <v>2</v>
      </c>
      <c r="B12" s="188"/>
      <c r="C12" s="157">
        <f t="shared" si="1"/>
        <v>0.6</v>
      </c>
      <c r="D12" s="157">
        <f t="shared" si="2"/>
        <v>0.33</v>
      </c>
      <c r="E12" s="203"/>
      <c r="F12" s="157">
        <f t="shared" si="3"/>
        <v>-0.5</v>
      </c>
      <c r="G12" s="157">
        <f t="shared" si="4"/>
        <v>0</v>
      </c>
      <c r="H12" s="158">
        <f t="shared" si="5"/>
        <v>-0.5</v>
      </c>
      <c r="I12" s="158">
        <f t="shared" si="6"/>
        <v>-0.1</v>
      </c>
      <c r="J12" s="187"/>
      <c r="K12" s="186"/>
      <c r="L12" s="204"/>
      <c r="M12" s="186"/>
      <c r="N12" s="159">
        <f t="shared" si="7"/>
        <v>250</v>
      </c>
      <c r="O12" s="160">
        <f t="shared" si="8"/>
        <v>0</v>
      </c>
      <c r="P12" s="161">
        <f t="shared" si="0"/>
        <v>250</v>
      </c>
    </row>
    <row r="13" spans="1:17" ht="18" customHeight="1" x14ac:dyDescent="0.25">
      <c r="A13" s="188" t="s">
        <v>8</v>
      </c>
      <c r="B13" s="188"/>
      <c r="C13" s="157">
        <f t="shared" si="1"/>
        <v>0.6</v>
      </c>
      <c r="D13" s="157">
        <f t="shared" si="2"/>
        <v>0.33</v>
      </c>
      <c r="E13" s="203"/>
      <c r="F13" s="157">
        <f t="shared" ref="F13" si="9">F12</f>
        <v>-0.5</v>
      </c>
      <c r="G13" s="157">
        <f t="shared" ref="G13" si="10">G12</f>
        <v>0</v>
      </c>
      <c r="H13" s="158">
        <f t="shared" ref="H13" si="11">H12</f>
        <v>-0.5</v>
      </c>
      <c r="I13" s="158">
        <f t="shared" ref="I13" si="12">I12</f>
        <v>-0.1</v>
      </c>
      <c r="J13" s="187"/>
      <c r="K13" s="186"/>
      <c r="L13" s="204"/>
      <c r="M13" s="186"/>
      <c r="N13" s="159">
        <f t="shared" ref="N13" si="13">N12</f>
        <v>250</v>
      </c>
      <c r="O13" s="160">
        <f t="shared" si="8"/>
        <v>0</v>
      </c>
      <c r="P13" s="161">
        <f t="shared" si="0"/>
        <v>250</v>
      </c>
    </row>
    <row r="14" spans="1:17" ht="40.5" customHeight="1" x14ac:dyDescent="0.25"/>
    <row r="15" spans="1:17" ht="33.75" x14ac:dyDescent="0.5">
      <c r="A15" s="91" t="s">
        <v>161</v>
      </c>
      <c r="H15" s="211" t="s">
        <v>64</v>
      </c>
      <c r="I15" s="212"/>
      <c r="J15" s="212"/>
      <c r="K15" s="212"/>
      <c r="L15" s="212"/>
      <c r="M15" s="213"/>
    </row>
    <row r="16" spans="1:17" ht="51" customHeight="1" x14ac:dyDescent="0.25">
      <c r="A16" s="202" t="s">
        <v>96</v>
      </c>
      <c r="B16" s="202"/>
      <c r="C16" s="202"/>
      <c r="D16" s="202"/>
      <c r="E16" s="202"/>
      <c r="F16" s="202"/>
      <c r="G16" s="59"/>
      <c r="H16" s="180" t="s">
        <v>88</v>
      </c>
      <c r="I16" s="181"/>
      <c r="J16" s="181"/>
      <c r="K16" s="182"/>
      <c r="L16" s="57" t="s">
        <v>97</v>
      </c>
      <c r="M16" s="57" t="s">
        <v>65</v>
      </c>
    </row>
    <row r="17" spans="1:13" ht="21" x14ac:dyDescent="0.35">
      <c r="A17" s="189" t="s">
        <v>67</v>
      </c>
      <c r="B17" s="189"/>
      <c r="C17" s="189"/>
      <c r="D17" s="189"/>
      <c r="E17" s="189"/>
      <c r="F17" s="162">
        <f>E33</f>
        <v>80.19672291266744</v>
      </c>
      <c r="G17" s="60"/>
      <c r="H17" s="177" t="str">
        <f t="shared" ref="H17:H26" si="14">A4</f>
        <v>Offices</v>
      </c>
      <c r="I17" s="178"/>
      <c r="J17" s="178"/>
      <c r="K17" s="179"/>
      <c r="L17" s="96">
        <f t="shared" ref="L17:L26" si="15">VLOOKUP(H17,cfloorarea,2)*C4</f>
        <v>185.1865799999994</v>
      </c>
      <c r="M17" s="97">
        <f t="shared" ref="M17:M26" si="16">P4*L17/1000</f>
        <v>46.296644999999849</v>
      </c>
    </row>
    <row r="18" spans="1:13" ht="21" x14ac:dyDescent="0.35">
      <c r="A18" s="189" t="s">
        <v>69</v>
      </c>
      <c r="B18" s="189"/>
      <c r="C18" s="189"/>
      <c r="D18" s="189"/>
      <c r="E18" s="189"/>
      <c r="F18" s="162">
        <f>E32+E34</f>
        <v>378.64618630008636</v>
      </c>
      <c r="G18" s="60"/>
      <c r="H18" s="177" t="str">
        <f t="shared" si="14"/>
        <v>Retail Trade</v>
      </c>
      <c r="I18" s="178"/>
      <c r="J18" s="178"/>
      <c r="K18" s="179"/>
      <c r="L18" s="96">
        <f t="shared" si="15"/>
        <v>71.027999999999992</v>
      </c>
      <c r="M18" s="97">
        <f t="shared" si="16"/>
        <v>17.756999999999998</v>
      </c>
    </row>
    <row r="19" spans="1:13" ht="21" x14ac:dyDescent="0.35">
      <c r="A19" s="189" t="s">
        <v>71</v>
      </c>
      <c r="B19" s="189"/>
      <c r="C19" s="189"/>
      <c r="D19" s="189"/>
      <c r="E19" s="189"/>
      <c r="F19" s="162">
        <f>E35</f>
        <v>458.8429092127538</v>
      </c>
      <c r="G19" s="60"/>
      <c r="H19" s="177" t="str">
        <f t="shared" si="14"/>
        <v>Health Care and Social Assistance</v>
      </c>
      <c r="I19" s="178"/>
      <c r="J19" s="178"/>
      <c r="K19" s="179"/>
      <c r="L19" s="96">
        <f t="shared" si="15"/>
        <v>37.678799999999939</v>
      </c>
      <c r="M19" s="97">
        <f t="shared" si="16"/>
        <v>9.4196999999999846</v>
      </c>
    </row>
    <row r="20" spans="1:13" ht="21" x14ac:dyDescent="0.35">
      <c r="A20" s="189" t="s">
        <v>73</v>
      </c>
      <c r="B20" s="189"/>
      <c r="C20" s="189"/>
      <c r="D20" s="189"/>
      <c r="E20" s="189"/>
      <c r="F20" s="163">
        <f>H35</f>
        <v>7.3493546434290629</v>
      </c>
      <c r="G20" s="61"/>
      <c r="H20" s="177" t="str">
        <f t="shared" si="14"/>
        <v>Educational Services</v>
      </c>
      <c r="I20" s="178"/>
      <c r="J20" s="178"/>
      <c r="K20" s="179"/>
      <c r="L20" s="96">
        <f t="shared" si="15"/>
        <v>60.751019999999997</v>
      </c>
      <c r="M20" s="97">
        <f t="shared" si="16"/>
        <v>15.187754999999999</v>
      </c>
    </row>
    <row r="21" spans="1:13" ht="21" x14ac:dyDescent="0.35">
      <c r="A21" s="189" t="s">
        <v>74</v>
      </c>
      <c r="B21" s="189"/>
      <c r="C21" s="189"/>
      <c r="D21" s="189"/>
      <c r="E21" s="189"/>
      <c r="F21" s="164">
        <f>K35</f>
        <v>21.820827707560728</v>
      </c>
      <c r="G21" s="62"/>
      <c r="H21" s="177" t="str">
        <f t="shared" si="14"/>
        <v>Accommodation and Food Services</v>
      </c>
      <c r="I21" s="178"/>
      <c r="J21" s="178"/>
      <c r="K21" s="179"/>
      <c r="L21" s="96">
        <f t="shared" si="15"/>
        <v>24.089819999999943</v>
      </c>
      <c r="M21" s="97">
        <f t="shared" si="16"/>
        <v>6.0224549999999857</v>
      </c>
    </row>
    <row r="22" spans="1:13" ht="21" x14ac:dyDescent="0.35">
      <c r="A22" s="189" t="s">
        <v>150</v>
      </c>
      <c r="B22" s="189"/>
      <c r="C22" s="189"/>
      <c r="D22" s="189"/>
      <c r="E22" s="189"/>
      <c r="F22" s="165">
        <f>M27</f>
        <v>113.12552999999977</v>
      </c>
      <c r="G22" s="63"/>
      <c r="H22" s="177" t="str">
        <f t="shared" si="14"/>
        <v>Arts, Entertainment and Recreation</v>
      </c>
      <c r="I22" s="178"/>
      <c r="J22" s="178"/>
      <c r="K22" s="179"/>
      <c r="L22" s="96">
        <f t="shared" si="15"/>
        <v>10.70388</v>
      </c>
      <c r="M22" s="97">
        <f t="shared" si="16"/>
        <v>2.67597</v>
      </c>
    </row>
    <row r="23" spans="1:13" ht="21" x14ac:dyDescent="0.35">
      <c r="A23" s="189" t="s">
        <v>75</v>
      </c>
      <c r="B23" s="189"/>
      <c r="C23" s="189"/>
      <c r="D23" s="189"/>
      <c r="E23" s="189"/>
      <c r="F23" s="166">
        <f>F22*F26*1000</f>
        <v>1018129.7699999979</v>
      </c>
      <c r="G23" s="64"/>
      <c r="H23" s="177" t="str">
        <f t="shared" si="14"/>
        <v>Information and Cultural Industries</v>
      </c>
      <c r="I23" s="178"/>
      <c r="J23" s="178"/>
      <c r="K23" s="179"/>
      <c r="L23" s="96">
        <f t="shared" si="15"/>
        <v>8.7778200000000002</v>
      </c>
      <c r="M23" s="97">
        <f t="shared" si="16"/>
        <v>2.194455</v>
      </c>
    </row>
    <row r="24" spans="1:13" ht="21" x14ac:dyDescent="0.35">
      <c r="A24" s="189" t="s">
        <v>77</v>
      </c>
      <c r="B24" s="189"/>
      <c r="C24" s="189"/>
      <c r="D24" s="189"/>
      <c r="E24" s="189"/>
      <c r="F24" s="166">
        <f>F23/10</f>
        <v>101812.9769999998</v>
      </c>
      <c r="G24" s="64"/>
      <c r="H24" s="177" t="str">
        <f t="shared" si="14"/>
        <v>Wholesale Trade</v>
      </c>
      <c r="I24" s="178"/>
      <c r="J24" s="178"/>
      <c r="K24" s="179"/>
      <c r="L24" s="96">
        <f t="shared" si="15"/>
        <v>27.052979999999938</v>
      </c>
      <c r="M24" s="97">
        <f t="shared" si="16"/>
        <v>6.7632449999999844</v>
      </c>
    </row>
    <row r="25" spans="1:13" ht="21" x14ac:dyDescent="0.35">
      <c r="A25" s="167"/>
      <c r="B25" s="167"/>
      <c r="C25" s="167"/>
      <c r="D25" s="167"/>
      <c r="E25" s="167"/>
      <c r="F25" s="168"/>
      <c r="G25" s="65"/>
      <c r="H25" s="177" t="str">
        <f t="shared" si="14"/>
        <v>Transportation and Warehousing</v>
      </c>
      <c r="I25" s="178"/>
      <c r="J25" s="178"/>
      <c r="K25" s="179"/>
      <c r="L25" s="96">
        <f t="shared" si="15"/>
        <v>19.706459999999939</v>
      </c>
      <c r="M25" s="97">
        <f t="shared" si="16"/>
        <v>4.9266149999999849</v>
      </c>
    </row>
    <row r="26" spans="1:13" ht="21" x14ac:dyDescent="0.35">
      <c r="A26" s="189" t="s">
        <v>78</v>
      </c>
      <c r="B26" s="189"/>
      <c r="C26" s="189"/>
      <c r="D26" s="189"/>
      <c r="E26" s="189"/>
      <c r="F26" s="169">
        <v>9</v>
      </c>
      <c r="G26" s="65"/>
      <c r="H26" s="177" t="str">
        <f t="shared" si="14"/>
        <v>Other Services</v>
      </c>
      <c r="I26" s="178"/>
      <c r="J26" s="178"/>
      <c r="K26" s="179"/>
      <c r="L26" s="96">
        <f t="shared" si="15"/>
        <v>7.5267599999999391</v>
      </c>
      <c r="M26" s="97">
        <f t="shared" si="16"/>
        <v>1.8816899999999848</v>
      </c>
    </row>
    <row r="27" spans="1:13" ht="15.75" x14ac:dyDescent="0.25">
      <c r="G27" s="65"/>
      <c r="H27" s="196" t="s">
        <v>76</v>
      </c>
      <c r="I27" s="197"/>
      <c r="J27" s="197"/>
      <c r="K27" s="198"/>
      <c r="L27" s="92">
        <f>SUM(L17:L26)</f>
        <v>452.50211999999908</v>
      </c>
      <c r="M27" s="93">
        <f>SUM(M17:M26)</f>
        <v>113.12552999999977</v>
      </c>
    </row>
    <row r="28" spans="1:13" x14ac:dyDescent="0.25">
      <c r="G28" s="65"/>
    </row>
    <row r="29" spans="1:13" ht="25.5" customHeight="1" x14ac:dyDescent="0.25">
      <c r="A29" s="199" t="s">
        <v>79</v>
      </c>
      <c r="B29" s="199"/>
      <c r="C29" s="199"/>
      <c r="D29" s="199"/>
      <c r="E29" s="199"/>
      <c r="F29" s="199"/>
      <c r="G29" s="199"/>
      <c r="H29" s="199"/>
      <c r="I29" s="199"/>
      <c r="J29" s="199"/>
      <c r="K29" s="199"/>
    </row>
    <row r="30" spans="1:13" ht="34.5" customHeight="1" x14ac:dyDescent="0.25">
      <c r="A30" s="199" t="s">
        <v>80</v>
      </c>
      <c r="B30" s="199"/>
      <c r="C30" s="190" t="s">
        <v>81</v>
      </c>
      <c r="D30" s="191"/>
      <c r="E30" s="191"/>
      <c r="F30" s="193" t="s">
        <v>164</v>
      </c>
      <c r="G30" s="194"/>
      <c r="H30" s="195"/>
      <c r="I30" s="183" t="s">
        <v>82</v>
      </c>
      <c r="J30" s="184"/>
      <c r="K30" s="185"/>
    </row>
    <row r="31" spans="1:13" ht="41.25" customHeight="1" x14ac:dyDescent="0.25">
      <c r="A31" s="192"/>
      <c r="B31" s="192"/>
      <c r="C31" s="170" t="s">
        <v>83</v>
      </c>
      <c r="D31" s="170" t="s">
        <v>84</v>
      </c>
      <c r="E31" s="170" t="s">
        <v>85</v>
      </c>
      <c r="F31" s="171" t="s">
        <v>162</v>
      </c>
      <c r="G31" s="171" t="s">
        <v>163</v>
      </c>
      <c r="H31" s="171" t="s">
        <v>86</v>
      </c>
      <c r="I31" s="172" t="s">
        <v>83</v>
      </c>
      <c r="J31" s="172" t="s">
        <v>84</v>
      </c>
      <c r="K31" s="172" t="s">
        <v>87</v>
      </c>
    </row>
    <row r="32" spans="1:13" ht="15.75" x14ac:dyDescent="0.25">
      <c r="A32" s="192" t="s">
        <v>34</v>
      </c>
      <c r="B32" s="192"/>
      <c r="C32" s="173">
        <f>'COMM ENERGY USE'!F159/1000</f>
        <v>535.42719486627436</v>
      </c>
      <c r="D32" s="173">
        <f>'COMM ENERGY USE'!G159/1000</f>
        <v>174.5634995017698</v>
      </c>
      <c r="E32" s="173">
        <f>C32-D32</f>
        <v>360.86369536450457</v>
      </c>
      <c r="F32" s="174">
        <f>C32*gprice/1000</f>
        <v>6.4251263383952919</v>
      </c>
      <c r="G32" s="174">
        <f>D32*futgprice*gaspm32gj</f>
        <v>2.1104727089763968</v>
      </c>
      <c r="H32" s="174">
        <f>E32*futgprice*gaspm32gj</f>
        <v>4.3628420769568601</v>
      </c>
      <c r="I32" s="175">
        <f>C32*gasef/1000</f>
        <v>26.235932548447444</v>
      </c>
      <c r="J32" s="175">
        <f>D32*gasef/1000</f>
        <v>8.5536114755867203</v>
      </c>
      <c r="K32" s="175">
        <f>I32-J32</f>
        <v>17.682321072860724</v>
      </c>
    </row>
    <row r="33" spans="1:13" ht="15.75" x14ac:dyDescent="0.25">
      <c r="A33" s="192" t="s">
        <v>15</v>
      </c>
      <c r="B33" s="192"/>
      <c r="C33" s="173">
        <f>'COMM ENERGY USE'!F156/1000</f>
        <v>427.58459197633573</v>
      </c>
      <c r="D33" s="173">
        <f>'COMM ENERGY USE'!G156/1000</f>
        <v>347.38786906366829</v>
      </c>
      <c r="E33" s="173">
        <f>C33-D33</f>
        <v>80.19672291266744</v>
      </c>
      <c r="F33" s="174">
        <f>C33*eprice/1000</f>
        <v>14.026484955191718</v>
      </c>
      <c r="G33" s="174">
        <f>D33*futeprice/elp2gj/100000</f>
        <v>11.396099124134798</v>
      </c>
      <c r="H33" s="174">
        <f>E33*futeprice/elp2gj/100000</f>
        <v>2.6308627477605668</v>
      </c>
      <c r="I33" s="175">
        <f>C33*gridfactor/1000</f>
        <v>14.965460719171752</v>
      </c>
      <c r="J33" s="175">
        <f>D33*J4*278/1000000</f>
        <v>12.071728449962475</v>
      </c>
      <c r="K33" s="175">
        <f>I33-J33</f>
        <v>2.8937322692092771</v>
      </c>
    </row>
    <row r="34" spans="1:13" ht="15.75" x14ac:dyDescent="0.25">
      <c r="A34" s="192" t="s">
        <v>33</v>
      </c>
      <c r="B34" s="192"/>
      <c r="C34" s="173">
        <f>('COMM ENERGY USE'!F158+'COMM ENERGY USE'!F157)/1000</f>
        <v>27.421255885420567</v>
      </c>
      <c r="D34" s="173">
        <f>('COMM ENERGY USE'!G158+'COMM ENERGY USE'!G157)/1000</f>
        <v>9.638764949838766</v>
      </c>
      <c r="E34" s="173">
        <f>C34-D34</f>
        <v>17.782490935581801</v>
      </c>
      <c r="F34" s="174">
        <f>C34*oprice/1000</f>
        <v>0.54842511770841129</v>
      </c>
      <c r="G34" s="174">
        <f>D34*futoprice/oilp2gj/1000</f>
        <v>0.19277529899677531</v>
      </c>
      <c r="H34" s="174">
        <f>E34*futoprice/oilp2gj/1000</f>
        <v>0.35564981871163603</v>
      </c>
      <c r="I34" s="175">
        <f>C34*oilef/1000</f>
        <v>1.9194879119794397</v>
      </c>
      <c r="J34" s="175">
        <f>D34*oilef/1000</f>
        <v>0.67471354648871362</v>
      </c>
      <c r="K34" s="175">
        <f>I34-J34</f>
        <v>1.2447743654907262</v>
      </c>
    </row>
    <row r="35" spans="1:13" ht="15.75" x14ac:dyDescent="0.25">
      <c r="A35" s="192" t="s">
        <v>27</v>
      </c>
      <c r="B35" s="192"/>
      <c r="C35" s="176">
        <f t="shared" ref="C35:K35" si="17">SUM(C32:C34)</f>
        <v>990.43304272803061</v>
      </c>
      <c r="D35" s="176">
        <f t="shared" si="17"/>
        <v>531.59013351527688</v>
      </c>
      <c r="E35" s="176">
        <f t="shared" si="17"/>
        <v>458.8429092127538</v>
      </c>
      <c r="F35" s="174">
        <f t="shared" si="17"/>
        <v>21.000036411295422</v>
      </c>
      <c r="G35" s="174">
        <f t="shared" si="17"/>
        <v>13.69934713210797</v>
      </c>
      <c r="H35" s="174">
        <f t="shared" si="17"/>
        <v>7.3493546434290629</v>
      </c>
      <c r="I35" s="175">
        <f t="shared" si="17"/>
        <v>43.120881179598634</v>
      </c>
      <c r="J35" s="175">
        <f t="shared" si="17"/>
        <v>21.300053472037909</v>
      </c>
      <c r="K35" s="175">
        <f t="shared" si="17"/>
        <v>21.820827707560728</v>
      </c>
    </row>
    <row r="37" spans="1:13" ht="21" x14ac:dyDescent="0.25">
      <c r="A37" s="202" t="s">
        <v>66</v>
      </c>
      <c r="B37" s="202"/>
      <c r="C37" s="202"/>
      <c r="D37" s="202"/>
    </row>
    <row r="38" spans="1:13" ht="18.75" x14ac:dyDescent="0.3">
      <c r="A38" s="201" t="s">
        <v>68</v>
      </c>
      <c r="B38" s="201"/>
      <c r="C38" s="201"/>
      <c r="D38" s="94">
        <f>-'Cost of Carbon Reductions'!B12</f>
        <v>73.972534336460186</v>
      </c>
      <c r="E38" s="74"/>
      <c r="F38" s="74"/>
      <c r="G38" s="74"/>
      <c r="H38" s="74"/>
      <c r="I38" s="74"/>
      <c r="J38" s="74"/>
      <c r="K38" s="74"/>
      <c r="L38" s="74"/>
      <c r="M38" s="74"/>
    </row>
    <row r="39" spans="1:13" ht="18.75" x14ac:dyDescent="0.3">
      <c r="A39" s="201" t="s">
        <v>70</v>
      </c>
      <c r="B39" s="201"/>
      <c r="C39" s="201"/>
      <c r="D39" s="94">
        <f>-'Cost of Carbon Reductions'!B13</f>
        <v>-34.624628997407321</v>
      </c>
      <c r="E39" s="74"/>
      <c r="F39" s="74"/>
      <c r="G39" s="74"/>
      <c r="H39" s="74"/>
      <c r="I39" s="74"/>
      <c r="J39" s="74"/>
      <c r="K39" s="74"/>
      <c r="L39" s="74"/>
      <c r="M39" s="74"/>
    </row>
    <row r="40" spans="1:13" ht="18.75" x14ac:dyDescent="0.3">
      <c r="A40" s="201" t="s">
        <v>72</v>
      </c>
      <c r="B40" s="201"/>
      <c r="C40" s="201"/>
      <c r="D40" s="95">
        <v>1.4999999999999999E-2</v>
      </c>
      <c r="E40" s="74"/>
      <c r="F40" s="74"/>
      <c r="G40" s="74"/>
      <c r="H40" s="74"/>
      <c r="I40" s="74"/>
      <c r="J40" s="74"/>
      <c r="K40" s="74"/>
      <c r="L40" s="74"/>
      <c r="M40" s="74"/>
    </row>
    <row r="41" spans="1:13" x14ac:dyDescent="0.25">
      <c r="B41" s="74"/>
      <c r="C41" s="74"/>
      <c r="D41" s="74"/>
      <c r="E41" s="74"/>
      <c r="F41" s="74"/>
      <c r="G41" s="74"/>
      <c r="H41" s="74"/>
      <c r="I41" s="74"/>
      <c r="J41" s="74"/>
      <c r="K41" s="74"/>
      <c r="L41" s="74"/>
      <c r="M41" s="74"/>
    </row>
    <row r="42" spans="1:13" x14ac:dyDescent="0.25">
      <c r="B42" s="74"/>
      <c r="C42" s="74"/>
      <c r="D42" s="74"/>
      <c r="E42" s="74"/>
      <c r="F42" s="74"/>
      <c r="G42" s="74"/>
      <c r="H42" s="74"/>
      <c r="I42" s="74"/>
      <c r="J42" s="74"/>
      <c r="K42" s="74"/>
      <c r="L42" s="74"/>
      <c r="M42" s="74"/>
    </row>
  </sheetData>
  <sheetProtection algorithmName="SHA-512" hashValue="WrIHAqH42fOjMLl/XW8fUhBdKvNk1ggbdamtDoIXPTpu5g/FBMw2kAX2HMDfEm2S53N7XCGPoOt6E3/Ll/aA8g==" saltValue="Lc1kV0e2rO8O818046/kFQ==" spinCount="100000" sheet="1" objects="1" scenarios="1"/>
  <mergeCells count="58">
    <mergeCell ref="L4:L13"/>
    <mergeCell ref="M4:M13"/>
    <mergeCell ref="K2:M2"/>
    <mergeCell ref="N2:P2"/>
    <mergeCell ref="A1:P1"/>
    <mergeCell ref="A38:C38"/>
    <mergeCell ref="A18:E18"/>
    <mergeCell ref="A39:C39"/>
    <mergeCell ref="A19:E19"/>
    <mergeCell ref="A40:C40"/>
    <mergeCell ref="A37:D37"/>
    <mergeCell ref="A22:E22"/>
    <mergeCell ref="A33:B33"/>
    <mergeCell ref="A34:B34"/>
    <mergeCell ref="A35:B35"/>
    <mergeCell ref="A2:B3"/>
    <mergeCell ref="A4:B4"/>
    <mergeCell ref="A5:B5"/>
    <mergeCell ref="A6:B6"/>
    <mergeCell ref="A7:B7"/>
    <mergeCell ref="A30:B30"/>
    <mergeCell ref="A23:E23"/>
    <mergeCell ref="A24:E24"/>
    <mergeCell ref="A17:E17"/>
    <mergeCell ref="A16:F16"/>
    <mergeCell ref="C2:C3"/>
    <mergeCell ref="D2:G2"/>
    <mergeCell ref="E4:E13"/>
    <mergeCell ref="A31:B31"/>
    <mergeCell ref="A32:B32"/>
    <mergeCell ref="F30:H30"/>
    <mergeCell ref="H27:K27"/>
    <mergeCell ref="A29:K29"/>
    <mergeCell ref="H26:K26"/>
    <mergeCell ref="I30:K30"/>
    <mergeCell ref="K4:K13"/>
    <mergeCell ref="J4:J13"/>
    <mergeCell ref="A8:B8"/>
    <mergeCell ref="A9:B9"/>
    <mergeCell ref="A10:B10"/>
    <mergeCell ref="A11:B11"/>
    <mergeCell ref="A12:B12"/>
    <mergeCell ref="A13:B13"/>
    <mergeCell ref="A26:E26"/>
    <mergeCell ref="A20:E20"/>
    <mergeCell ref="A21:E21"/>
    <mergeCell ref="C30:E30"/>
    <mergeCell ref="H15:M15"/>
    <mergeCell ref="H21:K21"/>
    <mergeCell ref="H22:K22"/>
    <mergeCell ref="H23:K23"/>
    <mergeCell ref="H24:K24"/>
    <mergeCell ref="H25:K25"/>
    <mergeCell ref="H17:K17"/>
    <mergeCell ref="H16:K16"/>
    <mergeCell ref="H18:K18"/>
    <mergeCell ref="H19:K19"/>
    <mergeCell ref="H20:K20"/>
  </mergeCells>
  <phoneticPr fontId="35" type="noConversion"/>
  <pageMargins left="0.7" right="0.7" top="0.75" bottom="0.75" header="0.3" footer="0.3"/>
  <pageSetup orientation="portrait" horizontalDpi="0" verticalDpi="0"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A10C6A-CA99-42B2-95BF-8F5182C403C5}">
  <dimension ref="A1:AG67"/>
  <sheetViews>
    <sheetView workbookViewId="0">
      <selection activeCell="C11" sqref="C11"/>
    </sheetView>
  </sheetViews>
  <sheetFormatPr defaultRowHeight="15" x14ac:dyDescent="0.25"/>
  <cols>
    <col min="1" max="1" width="62" style="55" customWidth="1"/>
    <col min="2" max="2" width="12.42578125" style="55" customWidth="1"/>
    <col min="3" max="3" width="48.85546875" style="55" customWidth="1"/>
    <col min="4" max="4" width="10" style="55" bestFit="1" customWidth="1"/>
    <col min="5" max="5" width="9" style="55" bestFit="1" customWidth="1"/>
    <col min="6" max="13" width="10" style="55" bestFit="1" customWidth="1"/>
    <col min="14" max="14" width="9.140625" style="55"/>
    <col min="15" max="15" width="9.5703125" style="55" bestFit="1" customWidth="1"/>
    <col min="16" max="16384" width="9.140625" style="55"/>
  </cols>
  <sheetData>
    <row r="1" spans="1:33" ht="21" x14ac:dyDescent="0.35">
      <c r="A1" s="130" t="s">
        <v>185</v>
      </c>
      <c r="D1" s="218" t="s">
        <v>173</v>
      </c>
      <c r="E1" s="219"/>
      <c r="F1" s="219"/>
      <c r="G1" s="219"/>
      <c r="H1" s="219"/>
      <c r="I1" s="219"/>
      <c r="J1" s="219"/>
      <c r="K1" s="219"/>
      <c r="L1" s="219"/>
      <c r="M1" s="219"/>
      <c r="N1" s="220"/>
    </row>
    <row r="2" spans="1:33" x14ac:dyDescent="0.25">
      <c r="D2" s="214" t="s">
        <v>186</v>
      </c>
      <c r="E2" s="214"/>
      <c r="F2" s="214"/>
      <c r="G2" s="214"/>
      <c r="H2" s="214"/>
      <c r="I2" s="214"/>
      <c r="J2" s="214"/>
      <c r="K2" s="214"/>
      <c r="L2" s="214"/>
      <c r="M2" s="214"/>
      <c r="N2" s="214"/>
    </row>
    <row r="3" spans="1:33" x14ac:dyDescent="0.25">
      <c r="D3" s="89" t="s">
        <v>187</v>
      </c>
      <c r="E3" s="89" t="s">
        <v>188</v>
      </c>
      <c r="F3" s="89" t="s">
        <v>189</v>
      </c>
      <c r="G3" s="89" t="s">
        <v>190</v>
      </c>
      <c r="H3" s="89" t="s">
        <v>191</v>
      </c>
      <c r="I3" s="89" t="s">
        <v>192</v>
      </c>
      <c r="J3" s="89" t="s">
        <v>193</v>
      </c>
      <c r="K3" s="89" t="s">
        <v>194</v>
      </c>
      <c r="L3" s="89" t="s">
        <v>195</v>
      </c>
      <c r="M3" s="89" t="s">
        <v>196</v>
      </c>
      <c r="N3" s="89" t="s">
        <v>197</v>
      </c>
      <c r="O3" s="89" t="s">
        <v>198</v>
      </c>
      <c r="P3" s="89" t="s">
        <v>199</v>
      </c>
      <c r="Q3" s="89" t="s">
        <v>200</v>
      </c>
      <c r="R3" s="89" t="s">
        <v>201</v>
      </c>
      <c r="S3" s="89" t="s">
        <v>202</v>
      </c>
      <c r="T3" s="89" t="s">
        <v>203</v>
      </c>
      <c r="U3" s="89" t="s">
        <v>204</v>
      </c>
      <c r="V3" s="89" t="s">
        <v>205</v>
      </c>
      <c r="W3" s="89" t="s">
        <v>206</v>
      </c>
      <c r="X3" s="89" t="s">
        <v>207</v>
      </c>
      <c r="Y3" s="89" t="s">
        <v>208</v>
      </c>
      <c r="Z3" s="89" t="s">
        <v>209</v>
      </c>
      <c r="AA3" s="89" t="s">
        <v>210</v>
      </c>
      <c r="AB3" s="89" t="s">
        <v>211</v>
      </c>
      <c r="AC3" s="89" t="s">
        <v>212</v>
      </c>
      <c r="AD3" s="89" t="s">
        <v>213</v>
      </c>
      <c r="AE3" s="89" t="s">
        <v>214</v>
      </c>
      <c r="AF3" s="89" t="s">
        <v>215</v>
      </c>
      <c r="AG3" s="89" t="s">
        <v>216</v>
      </c>
    </row>
    <row r="4" spans="1:33" x14ac:dyDescent="0.25">
      <c r="A4" s="85" t="s">
        <v>138</v>
      </c>
      <c r="B4" s="76">
        <f>'CI BUILDING DEEP RETROFIT'!M27</f>
        <v>113.12552999999977</v>
      </c>
      <c r="C4" s="85" t="s">
        <v>136</v>
      </c>
      <c r="D4" s="75">
        <f>D5</f>
        <v>0.05</v>
      </c>
      <c r="E4" s="75">
        <f t="shared" ref="E4:M4" si="0">D4+E5</f>
        <v>0.09</v>
      </c>
      <c r="F4" s="75">
        <f t="shared" si="0"/>
        <v>0.15</v>
      </c>
      <c r="G4" s="75">
        <f t="shared" si="0"/>
        <v>0.25</v>
      </c>
      <c r="H4" s="75">
        <f t="shared" si="0"/>
        <v>0.4</v>
      </c>
      <c r="I4" s="75">
        <f t="shared" si="0"/>
        <v>0.58000000000000007</v>
      </c>
      <c r="J4" s="75">
        <f t="shared" si="0"/>
        <v>0.73000000000000009</v>
      </c>
      <c r="K4" s="75">
        <f t="shared" si="0"/>
        <v>0.88000000000000012</v>
      </c>
      <c r="L4" s="75">
        <f t="shared" si="0"/>
        <v>0.98000000000000009</v>
      </c>
      <c r="M4" s="75">
        <f t="shared" si="0"/>
        <v>1</v>
      </c>
      <c r="N4" s="75">
        <f t="shared" ref="N4:AG4" si="1">M4</f>
        <v>1</v>
      </c>
      <c r="O4" s="75">
        <f t="shared" si="1"/>
        <v>1</v>
      </c>
      <c r="P4" s="75">
        <f t="shared" si="1"/>
        <v>1</v>
      </c>
      <c r="Q4" s="75">
        <f t="shared" si="1"/>
        <v>1</v>
      </c>
      <c r="R4" s="75">
        <f t="shared" si="1"/>
        <v>1</v>
      </c>
      <c r="S4" s="75">
        <f t="shared" si="1"/>
        <v>1</v>
      </c>
      <c r="T4" s="75">
        <f t="shared" si="1"/>
        <v>1</v>
      </c>
      <c r="U4" s="75">
        <f t="shared" si="1"/>
        <v>1</v>
      </c>
      <c r="V4" s="75">
        <f t="shared" si="1"/>
        <v>1</v>
      </c>
      <c r="W4" s="75">
        <f t="shared" si="1"/>
        <v>1</v>
      </c>
      <c r="X4" s="75">
        <f t="shared" si="1"/>
        <v>1</v>
      </c>
      <c r="Y4" s="75">
        <f t="shared" si="1"/>
        <v>1</v>
      </c>
      <c r="Z4" s="75">
        <f t="shared" si="1"/>
        <v>1</v>
      </c>
      <c r="AA4" s="75">
        <f t="shared" si="1"/>
        <v>1</v>
      </c>
      <c r="AB4" s="75">
        <f t="shared" si="1"/>
        <v>1</v>
      </c>
      <c r="AC4" s="75">
        <f t="shared" si="1"/>
        <v>1</v>
      </c>
      <c r="AD4" s="75">
        <f t="shared" si="1"/>
        <v>1</v>
      </c>
      <c r="AE4" s="75">
        <f t="shared" si="1"/>
        <v>1</v>
      </c>
      <c r="AF4" s="75">
        <f t="shared" si="1"/>
        <v>1</v>
      </c>
      <c r="AG4" s="75">
        <f t="shared" si="1"/>
        <v>1</v>
      </c>
    </row>
    <row r="5" spans="1:33" x14ac:dyDescent="0.25">
      <c r="A5" s="89" t="s">
        <v>217</v>
      </c>
      <c r="B5" s="78">
        <f>'CI BUILDING DEEP RETROFIT'!H35</f>
        <v>7.3493546434290629</v>
      </c>
      <c r="C5" s="70" t="s">
        <v>137</v>
      </c>
      <c r="D5" s="86">
        <v>0.05</v>
      </c>
      <c r="E5" s="86">
        <v>0.04</v>
      </c>
      <c r="F5" s="86">
        <v>0.06</v>
      </c>
      <c r="G5" s="86">
        <v>0.1</v>
      </c>
      <c r="H5" s="86">
        <v>0.15</v>
      </c>
      <c r="I5" s="86">
        <v>0.18</v>
      </c>
      <c r="J5" s="86">
        <v>0.15</v>
      </c>
      <c r="K5" s="86">
        <v>0.15</v>
      </c>
      <c r="L5" s="86">
        <v>0.1</v>
      </c>
      <c r="M5" s="86">
        <f>1-SUM(D5:L5)</f>
        <v>1.9999999999999907E-2</v>
      </c>
      <c r="N5" s="69"/>
      <c r="O5" s="69"/>
      <c r="P5" s="69"/>
      <c r="Q5" s="69"/>
      <c r="R5" s="69"/>
      <c r="S5" s="69"/>
      <c r="T5" s="69"/>
      <c r="U5" s="69"/>
      <c r="V5" s="69"/>
      <c r="W5" s="69"/>
      <c r="X5" s="69"/>
      <c r="Y5" s="69"/>
      <c r="Z5" s="69"/>
      <c r="AA5" s="69"/>
      <c r="AB5" s="69"/>
      <c r="AC5" s="69"/>
      <c r="AD5" s="69"/>
      <c r="AE5" s="69"/>
      <c r="AF5" s="69"/>
      <c r="AG5" s="69"/>
    </row>
    <row r="6" spans="1:33" x14ac:dyDescent="0.25">
      <c r="A6" s="89" t="s">
        <v>218</v>
      </c>
      <c r="B6" s="79">
        <f>'CI BUILDING DEEP RETROFIT'!K35</f>
        <v>21.820827707560728</v>
      </c>
      <c r="C6" s="85" t="s">
        <v>139</v>
      </c>
      <c r="D6" s="77">
        <f t="shared" ref="D6:M6" si="2">-$B$4*D5</f>
        <v>-5.656276499999989</v>
      </c>
      <c r="E6" s="77">
        <f t="shared" si="2"/>
        <v>-4.5250211999999905</v>
      </c>
      <c r="F6" s="77">
        <f t="shared" si="2"/>
        <v>-6.7875317999999858</v>
      </c>
      <c r="G6" s="77">
        <f t="shared" si="2"/>
        <v>-11.312552999999978</v>
      </c>
      <c r="H6" s="77">
        <f t="shared" si="2"/>
        <v>-16.968829499999966</v>
      </c>
      <c r="I6" s="77">
        <f t="shared" si="2"/>
        <v>-20.362595399999957</v>
      </c>
      <c r="J6" s="77">
        <f t="shared" si="2"/>
        <v>-16.968829499999966</v>
      </c>
      <c r="K6" s="77">
        <f t="shared" si="2"/>
        <v>-16.968829499999966</v>
      </c>
      <c r="L6" s="77">
        <f t="shared" si="2"/>
        <v>-11.312552999999978</v>
      </c>
      <c r="M6" s="77">
        <f t="shared" si="2"/>
        <v>-2.2625105999999851</v>
      </c>
      <c r="N6" s="69"/>
      <c r="O6" s="69"/>
      <c r="P6" s="69"/>
      <c r="Q6" s="69"/>
      <c r="R6" s="69"/>
      <c r="S6" s="69"/>
      <c r="T6" s="69"/>
      <c r="U6" s="69"/>
      <c r="V6" s="69"/>
      <c r="W6" s="69"/>
      <c r="X6" s="69"/>
      <c r="Y6" s="69"/>
      <c r="Z6" s="69"/>
      <c r="AA6" s="69"/>
      <c r="AB6" s="69"/>
      <c r="AC6" s="69"/>
      <c r="AD6" s="69"/>
      <c r="AE6" s="69"/>
      <c r="AF6" s="69"/>
      <c r="AG6" s="69"/>
    </row>
    <row r="7" spans="1:33" x14ac:dyDescent="0.25">
      <c r="A7" s="85" t="s">
        <v>142</v>
      </c>
      <c r="B7" s="81">
        <f>'CI BUILDING DEEP RETROFIT'!D40</f>
        <v>1.4999999999999999E-2</v>
      </c>
      <c r="C7" s="85" t="s">
        <v>140</v>
      </c>
      <c r="D7" s="77">
        <f t="shared" ref="D7:AG7" si="3">$B$5*D4</f>
        <v>0.36746773217145318</v>
      </c>
      <c r="E7" s="77">
        <f t="shared" si="3"/>
        <v>0.66144191790861562</v>
      </c>
      <c r="F7" s="77">
        <f t="shared" si="3"/>
        <v>1.1024031965143595</v>
      </c>
      <c r="G7" s="77">
        <f t="shared" si="3"/>
        <v>1.8373386608572657</v>
      </c>
      <c r="H7" s="77">
        <f t="shared" si="3"/>
        <v>2.9397418573716254</v>
      </c>
      <c r="I7" s="77">
        <f t="shared" si="3"/>
        <v>4.2626256931888573</v>
      </c>
      <c r="J7" s="77">
        <f t="shared" si="3"/>
        <v>5.3650288897032166</v>
      </c>
      <c r="K7" s="77">
        <f t="shared" si="3"/>
        <v>6.4674320862175758</v>
      </c>
      <c r="L7" s="77">
        <f t="shared" si="3"/>
        <v>7.2023675505604823</v>
      </c>
      <c r="M7" s="77">
        <f t="shared" si="3"/>
        <v>7.3493546434290629</v>
      </c>
      <c r="N7" s="77">
        <f t="shared" si="3"/>
        <v>7.3493546434290629</v>
      </c>
      <c r="O7" s="77">
        <f t="shared" si="3"/>
        <v>7.3493546434290629</v>
      </c>
      <c r="P7" s="77">
        <f t="shared" si="3"/>
        <v>7.3493546434290629</v>
      </c>
      <c r="Q7" s="77">
        <f t="shared" si="3"/>
        <v>7.3493546434290629</v>
      </c>
      <c r="R7" s="77">
        <f t="shared" si="3"/>
        <v>7.3493546434290629</v>
      </c>
      <c r="S7" s="77">
        <f t="shared" si="3"/>
        <v>7.3493546434290629</v>
      </c>
      <c r="T7" s="77">
        <f t="shared" si="3"/>
        <v>7.3493546434290629</v>
      </c>
      <c r="U7" s="77">
        <f t="shared" si="3"/>
        <v>7.3493546434290629</v>
      </c>
      <c r="V7" s="77">
        <f t="shared" si="3"/>
        <v>7.3493546434290629</v>
      </c>
      <c r="W7" s="77">
        <f t="shared" si="3"/>
        <v>7.3493546434290629</v>
      </c>
      <c r="X7" s="77">
        <f t="shared" si="3"/>
        <v>7.3493546434290629</v>
      </c>
      <c r="Y7" s="77">
        <f t="shared" si="3"/>
        <v>7.3493546434290629</v>
      </c>
      <c r="Z7" s="77">
        <f t="shared" si="3"/>
        <v>7.3493546434290629</v>
      </c>
      <c r="AA7" s="77">
        <f t="shared" si="3"/>
        <v>7.3493546434290629</v>
      </c>
      <c r="AB7" s="77">
        <f t="shared" si="3"/>
        <v>7.3493546434290629</v>
      </c>
      <c r="AC7" s="77">
        <f t="shared" si="3"/>
        <v>7.3493546434290629</v>
      </c>
      <c r="AD7" s="77">
        <f t="shared" si="3"/>
        <v>7.3493546434290629</v>
      </c>
      <c r="AE7" s="77">
        <f t="shared" si="3"/>
        <v>7.3493546434290629</v>
      </c>
      <c r="AF7" s="77">
        <f t="shared" si="3"/>
        <v>7.3493546434290629</v>
      </c>
      <c r="AG7" s="77">
        <f t="shared" si="3"/>
        <v>7.3493546434290629</v>
      </c>
    </row>
    <row r="8" spans="1:33" x14ac:dyDescent="0.25">
      <c r="A8" s="85" t="s">
        <v>141</v>
      </c>
      <c r="B8" s="80">
        <f>NPV($B$7,D6:W7)</f>
        <v>-24.389684514665998</v>
      </c>
      <c r="C8" s="85" t="s">
        <v>145</v>
      </c>
      <c r="D8" s="58">
        <f>$B$6*D4</f>
        <v>1.0910413853780365</v>
      </c>
      <c r="E8" s="58">
        <f t="shared" ref="E8:AG8" si="4">D8+$B$6*E4</f>
        <v>3.0549158790585018</v>
      </c>
      <c r="F8" s="58">
        <f t="shared" si="4"/>
        <v>6.3280400351926112</v>
      </c>
      <c r="G8" s="58">
        <f t="shared" si="4"/>
        <v>11.783246962082792</v>
      </c>
      <c r="H8" s="58">
        <f t="shared" si="4"/>
        <v>20.511578045107086</v>
      </c>
      <c r="I8" s="58">
        <f t="shared" si="4"/>
        <v>33.167658115492308</v>
      </c>
      <c r="J8" s="58">
        <f t="shared" si="4"/>
        <v>49.09686234201164</v>
      </c>
      <c r="K8" s="58">
        <f t="shared" si="4"/>
        <v>68.299190724665081</v>
      </c>
      <c r="L8" s="58">
        <f t="shared" si="4"/>
        <v>89.683601878074597</v>
      </c>
      <c r="M8" s="58">
        <f t="shared" si="4"/>
        <v>111.50442958563532</v>
      </c>
      <c r="N8" s="58">
        <f t="shared" si="4"/>
        <v>133.32525729319605</v>
      </c>
      <c r="O8" s="58">
        <f t="shared" si="4"/>
        <v>155.14608500075678</v>
      </c>
      <c r="P8" s="58">
        <f t="shared" si="4"/>
        <v>176.96691270831752</v>
      </c>
      <c r="Q8" s="58">
        <f t="shared" si="4"/>
        <v>198.78774041587826</v>
      </c>
      <c r="R8" s="58">
        <f t="shared" si="4"/>
        <v>220.608568123439</v>
      </c>
      <c r="S8" s="58">
        <f t="shared" si="4"/>
        <v>242.42939583099974</v>
      </c>
      <c r="T8" s="58">
        <f t="shared" si="4"/>
        <v>264.25022353856048</v>
      </c>
      <c r="U8" s="58">
        <f t="shared" si="4"/>
        <v>286.07105124612121</v>
      </c>
      <c r="V8" s="58">
        <f t="shared" si="4"/>
        <v>307.89187895368195</v>
      </c>
      <c r="W8" s="58">
        <f t="shared" si="4"/>
        <v>329.71270666124269</v>
      </c>
      <c r="X8" s="58">
        <f t="shared" si="4"/>
        <v>351.53353436880343</v>
      </c>
      <c r="Y8" s="58">
        <f t="shared" si="4"/>
        <v>373.35436207636417</v>
      </c>
      <c r="Z8" s="58">
        <f t="shared" si="4"/>
        <v>395.17518978392491</v>
      </c>
      <c r="AA8" s="58">
        <f t="shared" si="4"/>
        <v>416.99601749148565</v>
      </c>
      <c r="AB8" s="58">
        <f t="shared" si="4"/>
        <v>438.81684519904638</v>
      </c>
      <c r="AC8" s="58">
        <f t="shared" si="4"/>
        <v>460.63767290660712</v>
      </c>
      <c r="AD8" s="58">
        <f t="shared" si="4"/>
        <v>482.45850061416786</v>
      </c>
      <c r="AE8" s="58">
        <f t="shared" si="4"/>
        <v>504.2793283217286</v>
      </c>
      <c r="AF8" s="58">
        <f t="shared" si="4"/>
        <v>526.10015602928934</v>
      </c>
      <c r="AG8" s="58">
        <f t="shared" si="4"/>
        <v>547.92098373685008</v>
      </c>
    </row>
    <row r="9" spans="1:33" x14ac:dyDescent="0.25">
      <c r="A9" s="85" t="s">
        <v>143</v>
      </c>
      <c r="B9" s="80">
        <f>NPV($B$7, D6:AG7)</f>
        <v>18.971560781782884</v>
      </c>
    </row>
    <row r="10" spans="1:33" ht="15.75" x14ac:dyDescent="0.25">
      <c r="A10" s="85" t="s">
        <v>144</v>
      </c>
      <c r="B10" s="82">
        <f>W8</f>
        <v>329.71270666124269</v>
      </c>
    </row>
    <row r="11" spans="1:33" ht="15.75" x14ac:dyDescent="0.25">
      <c r="A11" s="85" t="s">
        <v>146</v>
      </c>
      <c r="B11" s="82">
        <f>AG8</f>
        <v>547.92098373685008</v>
      </c>
    </row>
    <row r="12" spans="1:33" x14ac:dyDescent="0.25">
      <c r="A12" s="85" t="s">
        <v>147</v>
      </c>
      <c r="B12" s="83">
        <f>B8/B10*1000</f>
        <v>-73.972534336460186</v>
      </c>
    </row>
    <row r="13" spans="1:33" x14ac:dyDescent="0.25">
      <c r="A13" s="85" t="s">
        <v>148</v>
      </c>
      <c r="B13" s="83">
        <f>B9/B11*1000</f>
        <v>34.624628997407321</v>
      </c>
    </row>
    <row r="14" spans="1:33" x14ac:dyDescent="0.25">
      <c r="D14" s="84"/>
    </row>
    <row r="15" spans="1:33" x14ac:dyDescent="0.25">
      <c r="A15" s="148"/>
      <c r="B15" s="148"/>
      <c r="C15" s="149"/>
      <c r="D15" s="215" t="s">
        <v>153</v>
      </c>
      <c r="E15" s="216"/>
      <c r="F15" s="216"/>
      <c r="G15" s="216"/>
      <c r="H15" s="216"/>
      <c r="I15" s="216"/>
      <c r="J15" s="216"/>
      <c r="K15" s="216"/>
      <c r="L15" s="216"/>
      <c r="M15" s="217"/>
    </row>
    <row r="16" spans="1:33" x14ac:dyDescent="0.25">
      <c r="A16" s="150" t="s">
        <v>152</v>
      </c>
      <c r="B16" s="148"/>
      <c r="C16" s="149"/>
      <c r="D16" s="151" t="s">
        <v>187</v>
      </c>
      <c r="E16" s="151" t="s">
        <v>188</v>
      </c>
      <c r="F16" s="151" t="s">
        <v>189</v>
      </c>
      <c r="G16" s="151" t="s">
        <v>190</v>
      </c>
      <c r="H16" s="151" t="s">
        <v>191</v>
      </c>
      <c r="I16" s="151" t="s">
        <v>192</v>
      </c>
      <c r="J16" s="151" t="s">
        <v>193</v>
      </c>
      <c r="K16" s="151" t="s">
        <v>194</v>
      </c>
      <c r="L16" s="151" t="s">
        <v>195</v>
      </c>
      <c r="M16" s="151" t="s">
        <v>196</v>
      </c>
    </row>
    <row r="17" spans="1:15" x14ac:dyDescent="0.25">
      <c r="A17" s="152" t="str">
        <f>'CI BUILDING DEEP RETROFIT'!A4</f>
        <v>Offices</v>
      </c>
      <c r="B17" s="155">
        <f>VLOOKUP(A17,cfloorarea,2)*'CI BUILDING DEEP RETROFIT'!C4*'CI BUILDING DEEP RETROFIT'!N4</f>
        <v>46296.644999999851</v>
      </c>
      <c r="C17" s="149"/>
      <c r="D17" s="153">
        <f t="shared" ref="D17:M26" si="5">$B17*D$5</f>
        <v>2314.8322499999927</v>
      </c>
      <c r="E17" s="153">
        <f t="shared" si="5"/>
        <v>1851.8657999999941</v>
      </c>
      <c r="F17" s="153">
        <f t="shared" si="5"/>
        <v>2777.7986999999912</v>
      </c>
      <c r="G17" s="153">
        <f t="shared" si="5"/>
        <v>4629.6644999999853</v>
      </c>
      <c r="H17" s="153">
        <f t="shared" si="5"/>
        <v>6944.4967499999775</v>
      </c>
      <c r="I17" s="153">
        <f t="shared" si="5"/>
        <v>8333.3960999999726</v>
      </c>
      <c r="J17" s="153">
        <f t="shared" si="5"/>
        <v>6944.4967499999775</v>
      </c>
      <c r="K17" s="153">
        <f t="shared" si="5"/>
        <v>6944.4967499999775</v>
      </c>
      <c r="L17" s="153">
        <f t="shared" si="5"/>
        <v>4629.6644999999853</v>
      </c>
      <c r="M17" s="153">
        <f t="shared" si="5"/>
        <v>925.93289999999274</v>
      </c>
    </row>
    <row r="18" spans="1:15" x14ac:dyDescent="0.25">
      <c r="A18" s="152" t="str">
        <f>'CI BUILDING DEEP RETROFIT'!A5</f>
        <v>Retail Trade</v>
      </c>
      <c r="B18" s="155">
        <f>VLOOKUP(A18,cfloorarea,2)*'CI BUILDING DEEP RETROFIT'!C5*'CI BUILDING DEEP RETROFIT'!N5</f>
        <v>17756.999999999996</v>
      </c>
      <c r="C18" s="149"/>
      <c r="D18" s="153">
        <f t="shared" si="5"/>
        <v>887.84999999999991</v>
      </c>
      <c r="E18" s="153">
        <f t="shared" si="5"/>
        <v>710.27999999999986</v>
      </c>
      <c r="F18" s="153">
        <f t="shared" si="5"/>
        <v>1065.4199999999998</v>
      </c>
      <c r="G18" s="153">
        <f t="shared" si="5"/>
        <v>1775.6999999999998</v>
      </c>
      <c r="H18" s="153">
        <f t="shared" si="5"/>
        <v>2663.5499999999993</v>
      </c>
      <c r="I18" s="153">
        <f t="shared" si="5"/>
        <v>3196.2599999999993</v>
      </c>
      <c r="J18" s="153">
        <f t="shared" si="5"/>
        <v>2663.5499999999993</v>
      </c>
      <c r="K18" s="153">
        <f t="shared" si="5"/>
        <v>2663.5499999999993</v>
      </c>
      <c r="L18" s="153">
        <f t="shared" si="5"/>
        <v>1775.6999999999998</v>
      </c>
      <c r="M18" s="153">
        <f t="shared" si="5"/>
        <v>355.13999999999828</v>
      </c>
    </row>
    <row r="19" spans="1:15" x14ac:dyDescent="0.25">
      <c r="A19" s="152" t="str">
        <f>'CI BUILDING DEEP RETROFIT'!A6</f>
        <v>Health Care and Social Assistance</v>
      </c>
      <c r="B19" s="155">
        <f>VLOOKUP(A19,cfloorarea,2)*'CI BUILDING DEEP RETROFIT'!C6*'CI BUILDING DEEP RETROFIT'!N6</f>
        <v>9419.6999999999844</v>
      </c>
      <c r="C19" s="149"/>
      <c r="D19" s="153">
        <f t="shared" si="5"/>
        <v>470.98499999999922</v>
      </c>
      <c r="E19" s="153">
        <f t="shared" si="5"/>
        <v>376.78799999999939</v>
      </c>
      <c r="F19" s="153">
        <f t="shared" si="5"/>
        <v>565.18199999999899</v>
      </c>
      <c r="G19" s="153">
        <f t="shared" si="5"/>
        <v>941.96999999999844</v>
      </c>
      <c r="H19" s="153">
        <f t="shared" si="5"/>
        <v>1412.9549999999977</v>
      </c>
      <c r="I19" s="153">
        <f t="shared" si="5"/>
        <v>1695.5459999999971</v>
      </c>
      <c r="J19" s="153">
        <f t="shared" si="5"/>
        <v>1412.9549999999977</v>
      </c>
      <c r="K19" s="153">
        <f t="shared" si="5"/>
        <v>1412.9549999999977</v>
      </c>
      <c r="L19" s="153">
        <f t="shared" si="5"/>
        <v>941.96999999999844</v>
      </c>
      <c r="M19" s="153">
        <f t="shared" si="5"/>
        <v>188.39399999999881</v>
      </c>
    </row>
    <row r="20" spans="1:15" x14ac:dyDescent="0.25">
      <c r="A20" s="152" t="str">
        <f>'CI BUILDING DEEP RETROFIT'!A7</f>
        <v>Educational Services</v>
      </c>
      <c r="B20" s="155">
        <f>VLOOKUP(A20,cfloorarea,2)*'CI BUILDING DEEP RETROFIT'!C7*'CI BUILDING DEEP RETROFIT'!N7</f>
        <v>15187.754999999999</v>
      </c>
      <c r="C20" s="149"/>
      <c r="D20" s="153">
        <f t="shared" si="5"/>
        <v>759.38774999999998</v>
      </c>
      <c r="E20" s="153">
        <f t="shared" si="5"/>
        <v>607.51019999999994</v>
      </c>
      <c r="F20" s="153">
        <f t="shared" si="5"/>
        <v>911.26529999999991</v>
      </c>
      <c r="G20" s="153">
        <f t="shared" si="5"/>
        <v>1518.7755</v>
      </c>
      <c r="H20" s="153">
        <f t="shared" si="5"/>
        <v>2278.1632499999996</v>
      </c>
      <c r="I20" s="153">
        <f t="shared" si="5"/>
        <v>2733.7958999999996</v>
      </c>
      <c r="J20" s="153">
        <f t="shared" si="5"/>
        <v>2278.1632499999996</v>
      </c>
      <c r="K20" s="153">
        <f t="shared" si="5"/>
        <v>2278.1632499999996</v>
      </c>
      <c r="L20" s="153">
        <f t="shared" si="5"/>
        <v>1518.7755</v>
      </c>
      <c r="M20" s="153">
        <f t="shared" si="5"/>
        <v>303.75509999999855</v>
      </c>
    </row>
    <row r="21" spans="1:15" x14ac:dyDescent="0.25">
      <c r="A21" s="152" t="str">
        <f>'CI BUILDING DEEP RETROFIT'!A8</f>
        <v>Accommodation and Food Services</v>
      </c>
      <c r="B21" s="155">
        <f>VLOOKUP(A21,cfloorarea,2)*'CI BUILDING DEEP RETROFIT'!C8*'CI BUILDING DEEP RETROFIT'!N8</f>
        <v>6022.4549999999854</v>
      </c>
      <c r="C21" s="149"/>
      <c r="D21" s="153">
        <f t="shared" si="5"/>
        <v>301.12274999999926</v>
      </c>
      <c r="E21" s="153">
        <f t="shared" si="5"/>
        <v>240.89819999999941</v>
      </c>
      <c r="F21" s="153">
        <f t="shared" si="5"/>
        <v>361.34729999999911</v>
      </c>
      <c r="G21" s="153">
        <f t="shared" si="5"/>
        <v>602.24549999999851</v>
      </c>
      <c r="H21" s="153">
        <f t="shared" si="5"/>
        <v>903.36824999999783</v>
      </c>
      <c r="I21" s="153">
        <f t="shared" si="5"/>
        <v>1084.0418999999974</v>
      </c>
      <c r="J21" s="153">
        <f t="shared" si="5"/>
        <v>903.36824999999783</v>
      </c>
      <c r="K21" s="153">
        <f t="shared" si="5"/>
        <v>903.36824999999783</v>
      </c>
      <c r="L21" s="153">
        <f t="shared" si="5"/>
        <v>602.24549999999851</v>
      </c>
      <c r="M21" s="153">
        <f t="shared" si="5"/>
        <v>120.44909999999915</v>
      </c>
    </row>
    <row r="22" spans="1:15" x14ac:dyDescent="0.25">
      <c r="A22" s="152" t="str">
        <f>'CI BUILDING DEEP RETROFIT'!A9</f>
        <v>Arts, Entertainment and Recreation</v>
      </c>
      <c r="B22" s="155">
        <f>VLOOKUP(A22,cfloorarea,2)*'CI BUILDING DEEP RETROFIT'!C9*'CI BUILDING DEEP RETROFIT'!N9</f>
        <v>2675.97</v>
      </c>
      <c r="C22" s="149"/>
      <c r="D22" s="153">
        <f t="shared" si="5"/>
        <v>133.79849999999999</v>
      </c>
      <c r="E22" s="153">
        <f t="shared" si="5"/>
        <v>107.03879999999999</v>
      </c>
      <c r="F22" s="153">
        <f t="shared" si="5"/>
        <v>160.55819999999997</v>
      </c>
      <c r="G22" s="153">
        <f t="shared" si="5"/>
        <v>267.59699999999998</v>
      </c>
      <c r="H22" s="153">
        <f t="shared" si="5"/>
        <v>401.39549999999997</v>
      </c>
      <c r="I22" s="153">
        <f t="shared" si="5"/>
        <v>481.67459999999994</v>
      </c>
      <c r="J22" s="153">
        <f t="shared" si="5"/>
        <v>401.39549999999997</v>
      </c>
      <c r="K22" s="153">
        <f t="shared" si="5"/>
        <v>401.39549999999997</v>
      </c>
      <c r="L22" s="153">
        <f t="shared" si="5"/>
        <v>267.59699999999998</v>
      </c>
      <c r="M22" s="153">
        <f t="shared" si="5"/>
        <v>53.519399999999749</v>
      </c>
    </row>
    <row r="23" spans="1:15" x14ac:dyDescent="0.25">
      <c r="A23" s="152" t="str">
        <f>'CI BUILDING DEEP RETROFIT'!A10</f>
        <v>Information and Cultural Industries</v>
      </c>
      <c r="B23" s="155">
        <f>VLOOKUP(A23,cfloorarea,2)*'CI BUILDING DEEP RETROFIT'!C10*'CI BUILDING DEEP RETROFIT'!N10</f>
        <v>2194.4549999999999</v>
      </c>
      <c r="C23" s="149"/>
      <c r="D23" s="153">
        <f t="shared" si="5"/>
        <v>109.72275</v>
      </c>
      <c r="E23" s="153">
        <f t="shared" si="5"/>
        <v>87.778199999999998</v>
      </c>
      <c r="F23" s="153">
        <f t="shared" si="5"/>
        <v>131.66729999999998</v>
      </c>
      <c r="G23" s="153">
        <f t="shared" si="5"/>
        <v>219.44550000000001</v>
      </c>
      <c r="H23" s="153">
        <f t="shared" si="5"/>
        <v>329.16825</v>
      </c>
      <c r="I23" s="153">
        <f t="shared" si="5"/>
        <v>395.00189999999998</v>
      </c>
      <c r="J23" s="153">
        <f t="shared" si="5"/>
        <v>329.16825</v>
      </c>
      <c r="K23" s="153">
        <f t="shared" si="5"/>
        <v>329.16825</v>
      </c>
      <c r="L23" s="153">
        <f t="shared" si="5"/>
        <v>219.44550000000001</v>
      </c>
      <c r="M23" s="153">
        <f t="shared" si="5"/>
        <v>43.889099999999793</v>
      </c>
    </row>
    <row r="24" spans="1:15" x14ac:dyDescent="0.25">
      <c r="A24" s="152" t="str">
        <f>'CI BUILDING DEEP RETROFIT'!A11</f>
        <v>Wholesale Trade</v>
      </c>
      <c r="B24" s="155">
        <f>VLOOKUP(A24,cfloorarea,2)*'CI BUILDING DEEP RETROFIT'!C11*'CI BUILDING DEEP RETROFIT'!N11</f>
        <v>6763.2449999999844</v>
      </c>
      <c r="C24" s="149"/>
      <c r="D24" s="153">
        <f t="shared" si="5"/>
        <v>338.16224999999923</v>
      </c>
      <c r="E24" s="153">
        <f t="shared" si="5"/>
        <v>270.5297999999994</v>
      </c>
      <c r="F24" s="153">
        <f t="shared" si="5"/>
        <v>405.79469999999907</v>
      </c>
      <c r="G24" s="153">
        <f t="shared" si="5"/>
        <v>676.32449999999847</v>
      </c>
      <c r="H24" s="153">
        <f t="shared" si="5"/>
        <v>1014.4867499999976</v>
      </c>
      <c r="I24" s="153">
        <f t="shared" si="5"/>
        <v>1217.3840999999973</v>
      </c>
      <c r="J24" s="153">
        <f t="shared" si="5"/>
        <v>1014.4867499999976</v>
      </c>
      <c r="K24" s="153">
        <f t="shared" si="5"/>
        <v>1014.4867499999976</v>
      </c>
      <c r="L24" s="153">
        <f t="shared" si="5"/>
        <v>676.32449999999847</v>
      </c>
      <c r="M24" s="153">
        <f t="shared" si="5"/>
        <v>135.26489999999905</v>
      </c>
    </row>
    <row r="25" spans="1:15" x14ac:dyDescent="0.25">
      <c r="A25" s="152" t="str">
        <f>'CI BUILDING DEEP RETROFIT'!A12</f>
        <v>Transportation and Warehousing</v>
      </c>
      <c r="B25" s="155">
        <f>VLOOKUP(A25,cfloorarea,2)*'CI BUILDING DEEP RETROFIT'!C12*'CI BUILDING DEEP RETROFIT'!N12</f>
        <v>4926.6149999999852</v>
      </c>
      <c r="C25" s="149"/>
      <c r="D25" s="153">
        <f t="shared" si="5"/>
        <v>246.33074999999928</v>
      </c>
      <c r="E25" s="153">
        <f t="shared" si="5"/>
        <v>197.06459999999942</v>
      </c>
      <c r="F25" s="153">
        <f t="shared" si="5"/>
        <v>295.5968999999991</v>
      </c>
      <c r="G25" s="153">
        <f t="shared" si="5"/>
        <v>492.66149999999857</v>
      </c>
      <c r="H25" s="153">
        <f t="shared" si="5"/>
        <v>738.99224999999774</v>
      </c>
      <c r="I25" s="153">
        <f t="shared" si="5"/>
        <v>886.79069999999729</v>
      </c>
      <c r="J25" s="153">
        <f t="shared" si="5"/>
        <v>738.99224999999774</v>
      </c>
      <c r="K25" s="153">
        <f t="shared" si="5"/>
        <v>738.99224999999774</v>
      </c>
      <c r="L25" s="153">
        <f t="shared" si="5"/>
        <v>492.66149999999857</v>
      </c>
      <c r="M25" s="153">
        <f t="shared" si="5"/>
        <v>98.532299999999239</v>
      </c>
    </row>
    <row r="26" spans="1:15" x14ac:dyDescent="0.25">
      <c r="A26" s="152" t="str">
        <f>'CI BUILDING DEEP RETROFIT'!A13</f>
        <v>Other Services</v>
      </c>
      <c r="B26" s="155">
        <f>VLOOKUP(A26,cfloorarea,2)*'CI BUILDING DEEP RETROFIT'!C13*'CI BUILDING DEEP RETROFIT'!N13</f>
        <v>1881.6899999999848</v>
      </c>
      <c r="C26" s="149"/>
      <c r="D26" s="153">
        <f t="shared" si="5"/>
        <v>94.084499999999252</v>
      </c>
      <c r="E26" s="153">
        <f t="shared" si="5"/>
        <v>75.267599999999391</v>
      </c>
      <c r="F26" s="153">
        <f t="shared" si="5"/>
        <v>112.90139999999909</v>
      </c>
      <c r="G26" s="153">
        <f t="shared" si="5"/>
        <v>188.1689999999985</v>
      </c>
      <c r="H26" s="153">
        <f t="shared" si="5"/>
        <v>282.2534999999977</v>
      </c>
      <c r="I26" s="153">
        <f t="shared" si="5"/>
        <v>338.70419999999723</v>
      </c>
      <c r="J26" s="153">
        <f t="shared" si="5"/>
        <v>282.2534999999977</v>
      </c>
      <c r="K26" s="153">
        <f t="shared" si="5"/>
        <v>282.2534999999977</v>
      </c>
      <c r="L26" s="153">
        <f t="shared" si="5"/>
        <v>188.1689999999985</v>
      </c>
      <c r="M26" s="153">
        <f t="shared" si="5"/>
        <v>37.633799999999518</v>
      </c>
    </row>
    <row r="27" spans="1:15" x14ac:dyDescent="0.25">
      <c r="A27" s="87"/>
    </row>
    <row r="28" spans="1:15" x14ac:dyDescent="0.25">
      <c r="B28" s="131" t="s">
        <v>223</v>
      </c>
      <c r="C28" s="147"/>
      <c r="D28" s="133">
        <f>-D6*'CI BUILDING DEEP RETROFIT'!$F$26*1000</f>
        <v>50906.488499999905</v>
      </c>
      <c r="E28" s="133">
        <f>-E6*'CI BUILDING DEEP RETROFIT'!$F$26*1000</f>
        <v>40725.190799999917</v>
      </c>
      <c r="F28" s="133">
        <f>-F6*'CI BUILDING DEEP RETROFIT'!$F$26*1000</f>
        <v>61087.786199999871</v>
      </c>
      <c r="G28" s="133">
        <f>-G6*'CI BUILDING DEEP RETROFIT'!$F$26*1000</f>
        <v>101812.97699999981</v>
      </c>
      <c r="H28" s="133">
        <f>-H6*'CI BUILDING DEEP RETROFIT'!$F$26*1000</f>
        <v>152719.4654999997</v>
      </c>
      <c r="I28" s="133">
        <f>-I6*'CI BUILDING DEEP RETROFIT'!$F$26*1000</f>
        <v>183263.3585999996</v>
      </c>
      <c r="J28" s="133">
        <f>-J6*'CI BUILDING DEEP RETROFIT'!$F$26*1000</f>
        <v>152719.4654999997</v>
      </c>
      <c r="K28" s="133">
        <f>-K6*'CI BUILDING DEEP RETROFIT'!$F$26*1000</f>
        <v>152719.4654999997</v>
      </c>
      <c r="L28" s="133">
        <f>-L6*'CI BUILDING DEEP RETROFIT'!$F$26*1000</f>
        <v>101812.97699999981</v>
      </c>
      <c r="M28" s="133">
        <f>-M6*'CI BUILDING DEEP RETROFIT'!$F$26*1000</f>
        <v>20362.595399999864</v>
      </c>
    </row>
    <row r="30" spans="1:15" x14ac:dyDescent="0.25">
      <c r="A30" s="134" t="s">
        <v>219</v>
      </c>
      <c r="B30" s="134" t="s">
        <v>154</v>
      </c>
      <c r="C30" s="135" t="s">
        <v>222</v>
      </c>
      <c r="D30" s="136" t="s">
        <v>187</v>
      </c>
      <c r="E30" s="136" t="s">
        <v>188</v>
      </c>
      <c r="F30" s="136" t="s">
        <v>189</v>
      </c>
      <c r="G30" s="136" t="s">
        <v>190</v>
      </c>
      <c r="H30" s="136" t="s">
        <v>191</v>
      </c>
      <c r="I30" s="136" t="s">
        <v>192</v>
      </c>
      <c r="J30" s="136" t="s">
        <v>193</v>
      </c>
      <c r="K30" s="136" t="s">
        <v>194</v>
      </c>
      <c r="L30" s="136" t="s">
        <v>195</v>
      </c>
      <c r="M30" s="136" t="s">
        <v>196</v>
      </c>
    </row>
    <row r="31" spans="1:15" x14ac:dyDescent="0.25">
      <c r="A31" s="132" t="str">
        <f>A17</f>
        <v>Offices</v>
      </c>
      <c r="B31" s="154">
        <f>VLOOKUP(A17,cfloorarea,2)*'CI BUILDING DEEP RETROFIT'!C4</f>
        <v>185.1865799999994</v>
      </c>
      <c r="C31" s="132" t="s">
        <v>24</v>
      </c>
      <c r="D31" s="137">
        <f t="shared" ref="D31:M40" si="6">$B31*D$5</f>
        <v>9.2593289999999708</v>
      </c>
      <c r="E31" s="137">
        <f t="shared" si="6"/>
        <v>7.4074631999999756</v>
      </c>
      <c r="F31" s="137">
        <f t="shared" si="6"/>
        <v>11.111194799999963</v>
      </c>
      <c r="G31" s="137">
        <f t="shared" si="6"/>
        <v>18.518657999999942</v>
      </c>
      <c r="H31" s="137">
        <f t="shared" si="6"/>
        <v>27.777986999999907</v>
      </c>
      <c r="I31" s="137">
        <f t="shared" si="6"/>
        <v>33.333584399999893</v>
      </c>
      <c r="J31" s="137">
        <f t="shared" si="6"/>
        <v>27.777986999999907</v>
      </c>
      <c r="K31" s="137">
        <f t="shared" si="6"/>
        <v>27.777986999999907</v>
      </c>
      <c r="L31" s="137">
        <f t="shared" si="6"/>
        <v>18.518657999999942</v>
      </c>
      <c r="M31" s="137">
        <f t="shared" si="6"/>
        <v>3.7037315999999705</v>
      </c>
      <c r="O31" s="90"/>
    </row>
    <row r="32" spans="1:15" x14ac:dyDescent="0.25">
      <c r="A32" s="132" t="str">
        <f t="shared" ref="A32:A39" si="7">A18</f>
        <v>Retail Trade</v>
      </c>
      <c r="B32" s="154">
        <f>VLOOKUP(A18,cfloorarea,2)*'CI BUILDING DEEP RETROFIT'!C5</f>
        <v>71.027999999999992</v>
      </c>
      <c r="C32" s="132" t="s">
        <v>1</v>
      </c>
      <c r="D32" s="137">
        <f t="shared" si="6"/>
        <v>3.5513999999999997</v>
      </c>
      <c r="E32" s="137">
        <f t="shared" si="6"/>
        <v>2.8411199999999996</v>
      </c>
      <c r="F32" s="137">
        <f t="shared" si="6"/>
        <v>4.2616799999999992</v>
      </c>
      <c r="G32" s="137">
        <f t="shared" si="6"/>
        <v>7.1027999999999993</v>
      </c>
      <c r="H32" s="137">
        <f t="shared" si="6"/>
        <v>10.654199999999998</v>
      </c>
      <c r="I32" s="137">
        <f t="shared" si="6"/>
        <v>12.785039999999999</v>
      </c>
      <c r="J32" s="137">
        <f t="shared" si="6"/>
        <v>10.654199999999998</v>
      </c>
      <c r="K32" s="137">
        <f t="shared" si="6"/>
        <v>10.654199999999998</v>
      </c>
      <c r="L32" s="137">
        <f t="shared" si="6"/>
        <v>7.1027999999999993</v>
      </c>
      <c r="M32" s="137">
        <f t="shared" si="6"/>
        <v>1.4205599999999932</v>
      </c>
      <c r="O32" s="90"/>
    </row>
    <row r="33" spans="1:15" x14ac:dyDescent="0.25">
      <c r="A33" s="132" t="str">
        <f t="shared" si="7"/>
        <v>Health Care and Social Assistance</v>
      </c>
      <c r="B33" s="154">
        <f>VLOOKUP(A19,cfloorarea,2)*'CI BUILDING DEEP RETROFIT'!C6</f>
        <v>37.678799999999939</v>
      </c>
      <c r="C33" s="132" t="s">
        <v>5</v>
      </c>
      <c r="D33" s="137">
        <f t="shared" si="6"/>
        <v>1.8839399999999971</v>
      </c>
      <c r="E33" s="137">
        <f t="shared" si="6"/>
        <v>1.5071519999999976</v>
      </c>
      <c r="F33" s="137">
        <f t="shared" si="6"/>
        <v>2.2607279999999963</v>
      </c>
      <c r="G33" s="137">
        <f t="shared" si="6"/>
        <v>3.7678799999999941</v>
      </c>
      <c r="H33" s="137">
        <f t="shared" si="6"/>
        <v>5.651819999999991</v>
      </c>
      <c r="I33" s="137">
        <f t="shared" si="6"/>
        <v>6.7821839999999884</v>
      </c>
      <c r="J33" s="137">
        <f t="shared" si="6"/>
        <v>5.651819999999991</v>
      </c>
      <c r="K33" s="137">
        <f t="shared" si="6"/>
        <v>5.651819999999991</v>
      </c>
      <c r="L33" s="137">
        <f t="shared" si="6"/>
        <v>3.7678799999999941</v>
      </c>
      <c r="M33" s="137">
        <f t="shared" si="6"/>
        <v>0.75357599999999525</v>
      </c>
      <c r="O33" s="90"/>
    </row>
    <row r="34" spans="1:15" x14ac:dyDescent="0.25">
      <c r="A34" s="132" t="str">
        <f t="shared" si="7"/>
        <v>Educational Services</v>
      </c>
      <c r="B34" s="154">
        <f>VLOOKUP(A20,cfloorarea,2)*'CI BUILDING DEEP RETROFIT'!C7</f>
        <v>60.751019999999997</v>
      </c>
      <c r="C34" s="132" t="s">
        <v>4</v>
      </c>
      <c r="D34" s="137">
        <f t="shared" si="6"/>
        <v>3.0375510000000001</v>
      </c>
      <c r="E34" s="137">
        <f t="shared" si="6"/>
        <v>2.4300408</v>
      </c>
      <c r="F34" s="137">
        <f t="shared" si="6"/>
        <v>3.6450611999999998</v>
      </c>
      <c r="G34" s="137">
        <f t="shared" si="6"/>
        <v>6.0751020000000002</v>
      </c>
      <c r="H34" s="137">
        <f t="shared" si="6"/>
        <v>9.1126529999999999</v>
      </c>
      <c r="I34" s="137">
        <f t="shared" si="6"/>
        <v>10.935183599999998</v>
      </c>
      <c r="J34" s="137">
        <f t="shared" si="6"/>
        <v>9.1126529999999999</v>
      </c>
      <c r="K34" s="137">
        <f t="shared" si="6"/>
        <v>9.1126529999999999</v>
      </c>
      <c r="L34" s="137">
        <f t="shared" si="6"/>
        <v>6.0751020000000002</v>
      </c>
      <c r="M34" s="137">
        <f t="shared" si="6"/>
        <v>1.2150203999999942</v>
      </c>
      <c r="O34" s="90"/>
    </row>
    <row r="35" spans="1:15" x14ac:dyDescent="0.25">
      <c r="A35" s="132" t="str">
        <f t="shared" si="7"/>
        <v>Accommodation and Food Services</v>
      </c>
      <c r="B35" s="154">
        <f>VLOOKUP(A21,cfloorarea,2)*'CI BUILDING DEEP RETROFIT'!C8</f>
        <v>24.089819999999943</v>
      </c>
      <c r="C35" s="132" t="s">
        <v>7</v>
      </c>
      <c r="D35" s="137">
        <f t="shared" si="6"/>
        <v>1.2044909999999973</v>
      </c>
      <c r="E35" s="137">
        <f t="shared" si="6"/>
        <v>0.9635927999999977</v>
      </c>
      <c r="F35" s="137">
        <f t="shared" si="6"/>
        <v>1.4453891999999966</v>
      </c>
      <c r="G35" s="137">
        <f t="shared" si="6"/>
        <v>2.4089819999999946</v>
      </c>
      <c r="H35" s="137">
        <f t="shared" si="6"/>
        <v>3.6134729999999911</v>
      </c>
      <c r="I35" s="137">
        <f t="shared" si="6"/>
        <v>4.3361675999999898</v>
      </c>
      <c r="J35" s="137">
        <f t="shared" si="6"/>
        <v>3.6134729999999911</v>
      </c>
      <c r="K35" s="137">
        <f t="shared" si="6"/>
        <v>3.6134729999999911</v>
      </c>
      <c r="L35" s="137">
        <f t="shared" si="6"/>
        <v>2.4089819999999946</v>
      </c>
      <c r="M35" s="137">
        <f t="shared" si="6"/>
        <v>0.48179639999999663</v>
      </c>
      <c r="O35" s="90"/>
    </row>
    <row r="36" spans="1:15" x14ac:dyDescent="0.25">
      <c r="A36" s="132" t="str">
        <f t="shared" si="7"/>
        <v>Arts, Entertainment and Recreation</v>
      </c>
      <c r="B36" s="154">
        <f>VLOOKUP(A22,cfloorarea,2)*'CI BUILDING DEEP RETROFIT'!C9</f>
        <v>10.70388</v>
      </c>
      <c r="C36" s="132" t="s">
        <v>6</v>
      </c>
      <c r="D36" s="137">
        <f t="shared" si="6"/>
        <v>0.53519400000000006</v>
      </c>
      <c r="E36" s="137">
        <f t="shared" si="6"/>
        <v>0.42815520000000001</v>
      </c>
      <c r="F36" s="137">
        <f t="shared" si="6"/>
        <v>0.64223279999999994</v>
      </c>
      <c r="G36" s="137">
        <f t="shared" si="6"/>
        <v>1.0703880000000001</v>
      </c>
      <c r="H36" s="137">
        <f t="shared" si="6"/>
        <v>1.6055819999999998</v>
      </c>
      <c r="I36" s="137">
        <f t="shared" si="6"/>
        <v>1.9266983999999998</v>
      </c>
      <c r="J36" s="137">
        <f t="shared" si="6"/>
        <v>1.6055819999999998</v>
      </c>
      <c r="K36" s="137">
        <f t="shared" si="6"/>
        <v>1.6055819999999998</v>
      </c>
      <c r="L36" s="137">
        <f t="shared" si="6"/>
        <v>1.0703880000000001</v>
      </c>
      <c r="M36" s="137">
        <f t="shared" si="6"/>
        <v>0.21407759999999901</v>
      </c>
      <c r="O36" s="90"/>
    </row>
    <row r="37" spans="1:15" x14ac:dyDescent="0.25">
      <c r="A37" s="132" t="str">
        <f t="shared" si="7"/>
        <v>Information and Cultural Industries</v>
      </c>
      <c r="B37" s="154">
        <f>VLOOKUP(A23,cfloorarea,2)*'CI BUILDING DEEP RETROFIT'!C10</f>
        <v>8.7778200000000002</v>
      </c>
      <c r="C37" s="132" t="s">
        <v>3</v>
      </c>
      <c r="D37" s="137">
        <f t="shared" si="6"/>
        <v>0.43889100000000003</v>
      </c>
      <c r="E37" s="137">
        <f t="shared" si="6"/>
        <v>0.3511128</v>
      </c>
      <c r="F37" s="137">
        <f t="shared" si="6"/>
        <v>0.52666919999999995</v>
      </c>
      <c r="G37" s="137">
        <f t="shared" si="6"/>
        <v>0.87778200000000006</v>
      </c>
      <c r="H37" s="137">
        <f t="shared" si="6"/>
        <v>1.316673</v>
      </c>
      <c r="I37" s="137">
        <f t="shared" si="6"/>
        <v>1.5800076000000001</v>
      </c>
      <c r="J37" s="137">
        <f t="shared" si="6"/>
        <v>1.316673</v>
      </c>
      <c r="K37" s="137">
        <f t="shared" si="6"/>
        <v>1.316673</v>
      </c>
      <c r="L37" s="137">
        <f t="shared" si="6"/>
        <v>0.87778200000000006</v>
      </c>
      <c r="M37" s="137">
        <f t="shared" si="6"/>
        <v>0.1755563999999992</v>
      </c>
      <c r="O37" s="90"/>
    </row>
    <row r="38" spans="1:15" x14ac:dyDescent="0.25">
      <c r="A38" s="132" t="str">
        <f t="shared" si="7"/>
        <v>Wholesale Trade</v>
      </c>
      <c r="B38" s="154">
        <f>VLOOKUP(A24,cfloorarea,2)*'CI BUILDING DEEP RETROFIT'!C11</f>
        <v>27.052979999999938</v>
      </c>
      <c r="C38" s="132" t="s">
        <v>0</v>
      </c>
      <c r="D38" s="137">
        <f t="shared" si="6"/>
        <v>1.3526489999999969</v>
      </c>
      <c r="E38" s="137">
        <f t="shared" si="6"/>
        <v>1.0821191999999975</v>
      </c>
      <c r="F38" s="137">
        <f t="shared" si="6"/>
        <v>1.6231787999999963</v>
      </c>
      <c r="G38" s="137">
        <f t="shared" si="6"/>
        <v>2.7052979999999938</v>
      </c>
      <c r="H38" s="137">
        <f t="shared" si="6"/>
        <v>4.0579469999999906</v>
      </c>
      <c r="I38" s="137">
        <f t="shared" si="6"/>
        <v>4.8695363999999888</v>
      </c>
      <c r="J38" s="137">
        <f t="shared" si="6"/>
        <v>4.0579469999999906</v>
      </c>
      <c r="K38" s="137">
        <f t="shared" si="6"/>
        <v>4.0579469999999906</v>
      </c>
      <c r="L38" s="137">
        <f t="shared" si="6"/>
        <v>2.7052979999999938</v>
      </c>
      <c r="M38" s="137">
        <f t="shared" si="6"/>
        <v>0.5410595999999962</v>
      </c>
      <c r="O38" s="90"/>
    </row>
    <row r="39" spans="1:15" x14ac:dyDescent="0.25">
      <c r="A39" s="132" t="str">
        <f t="shared" si="7"/>
        <v>Transportation and Warehousing</v>
      </c>
      <c r="B39" s="154">
        <f>VLOOKUP(A25,cfloorarea,2)*'CI BUILDING DEEP RETROFIT'!C12</f>
        <v>19.706459999999939</v>
      </c>
      <c r="C39" s="132" t="s">
        <v>2</v>
      </c>
      <c r="D39" s="137">
        <f t="shared" si="6"/>
        <v>0.98532299999999706</v>
      </c>
      <c r="E39" s="137">
        <f t="shared" si="6"/>
        <v>0.78825839999999758</v>
      </c>
      <c r="F39" s="137">
        <f t="shared" si="6"/>
        <v>1.1823875999999964</v>
      </c>
      <c r="G39" s="137">
        <f t="shared" si="6"/>
        <v>1.9706459999999941</v>
      </c>
      <c r="H39" s="137">
        <f t="shared" si="6"/>
        <v>2.9559689999999907</v>
      </c>
      <c r="I39" s="137">
        <f t="shared" si="6"/>
        <v>3.5471627999999891</v>
      </c>
      <c r="J39" s="137">
        <f t="shared" si="6"/>
        <v>2.9559689999999907</v>
      </c>
      <c r="K39" s="137">
        <f t="shared" si="6"/>
        <v>2.9559689999999907</v>
      </c>
      <c r="L39" s="137">
        <f t="shared" si="6"/>
        <v>1.9706459999999941</v>
      </c>
      <c r="M39" s="137">
        <f t="shared" si="6"/>
        <v>0.39412919999999696</v>
      </c>
      <c r="O39" s="90"/>
    </row>
    <row r="40" spans="1:15" x14ac:dyDescent="0.25">
      <c r="A40" s="132" t="str">
        <f>A26</f>
        <v>Other Services</v>
      </c>
      <c r="B40" s="154">
        <f>VLOOKUP(A26,cfloorarea,2)*'CI BUILDING DEEP RETROFIT'!C13</f>
        <v>7.5267599999999391</v>
      </c>
      <c r="C40" s="132" t="s">
        <v>8</v>
      </c>
      <c r="D40" s="137">
        <f t="shared" si="6"/>
        <v>0.37633799999999695</v>
      </c>
      <c r="E40" s="137">
        <f t="shared" si="6"/>
        <v>0.30107039999999757</v>
      </c>
      <c r="F40" s="137">
        <f t="shared" si="6"/>
        <v>0.45160559999999633</v>
      </c>
      <c r="G40" s="137">
        <f t="shared" si="6"/>
        <v>0.75267599999999391</v>
      </c>
      <c r="H40" s="137">
        <f t="shared" si="6"/>
        <v>1.1290139999999909</v>
      </c>
      <c r="I40" s="137">
        <f t="shared" si="6"/>
        <v>1.3548167999999889</v>
      </c>
      <c r="J40" s="137">
        <f t="shared" si="6"/>
        <v>1.1290139999999909</v>
      </c>
      <c r="K40" s="137">
        <f t="shared" si="6"/>
        <v>1.1290139999999909</v>
      </c>
      <c r="L40" s="137">
        <f t="shared" si="6"/>
        <v>0.75267599999999391</v>
      </c>
      <c r="M40" s="137">
        <f t="shared" si="6"/>
        <v>0.15053519999999809</v>
      </c>
      <c r="O40" s="90"/>
    </row>
    <row r="43" spans="1:15" ht="18.75" x14ac:dyDescent="0.3">
      <c r="A43" s="138" t="s">
        <v>158</v>
      </c>
      <c r="B43" s="139"/>
      <c r="C43" s="139"/>
      <c r="D43" s="139"/>
      <c r="E43" s="139"/>
      <c r="F43" s="139"/>
      <c r="G43" s="139"/>
      <c r="H43" s="139"/>
      <c r="I43" s="139"/>
      <c r="J43" s="139"/>
      <c r="K43" s="139"/>
      <c r="L43" s="139"/>
      <c r="M43" s="139"/>
    </row>
    <row r="44" spans="1:15" x14ac:dyDescent="0.25">
      <c r="A44" s="140" t="s">
        <v>159</v>
      </c>
      <c r="B44" s="141"/>
      <c r="C44" s="142" t="s">
        <v>221</v>
      </c>
      <c r="D44" s="142" t="s">
        <v>187</v>
      </c>
      <c r="E44" s="142" t="s">
        <v>188</v>
      </c>
      <c r="F44" s="142" t="s">
        <v>189</v>
      </c>
      <c r="G44" s="142" t="s">
        <v>190</v>
      </c>
      <c r="H44" s="142" t="s">
        <v>191</v>
      </c>
      <c r="I44" s="142" t="s">
        <v>192</v>
      </c>
      <c r="J44" s="142" t="s">
        <v>193</v>
      </c>
      <c r="K44" s="142" t="s">
        <v>194</v>
      </c>
      <c r="L44" s="142" t="s">
        <v>195</v>
      </c>
      <c r="M44" s="142" t="s">
        <v>196</v>
      </c>
    </row>
    <row r="45" spans="1:15" x14ac:dyDescent="0.25">
      <c r="A45" s="141" t="str">
        <f>A22</f>
        <v>Arts, Entertainment and Recreation</v>
      </c>
      <c r="B45" s="143">
        <f>B17</f>
        <v>46296.644999999851</v>
      </c>
      <c r="C45" s="141" t="s">
        <v>6</v>
      </c>
      <c r="D45" s="144">
        <f>D17</f>
        <v>2314.8322499999927</v>
      </c>
      <c r="E45" s="144">
        <f t="shared" ref="E45:M45" si="8">E17</f>
        <v>1851.8657999999941</v>
      </c>
      <c r="F45" s="144">
        <f t="shared" si="8"/>
        <v>2777.7986999999912</v>
      </c>
      <c r="G45" s="144">
        <f t="shared" si="8"/>
        <v>4629.6644999999853</v>
      </c>
      <c r="H45" s="144">
        <f t="shared" si="8"/>
        <v>6944.4967499999775</v>
      </c>
      <c r="I45" s="144">
        <f t="shared" si="8"/>
        <v>8333.3960999999726</v>
      </c>
      <c r="J45" s="144">
        <f t="shared" si="8"/>
        <v>6944.4967499999775</v>
      </c>
      <c r="K45" s="144">
        <f t="shared" si="8"/>
        <v>6944.4967499999775</v>
      </c>
      <c r="L45" s="144">
        <f t="shared" si="8"/>
        <v>4629.6644999999853</v>
      </c>
      <c r="M45" s="144">
        <f t="shared" si="8"/>
        <v>925.93289999999274</v>
      </c>
    </row>
    <row r="46" spans="1:15" x14ac:dyDescent="0.25">
      <c r="A46" s="141" t="str">
        <f>A23</f>
        <v>Information and Cultural Industries</v>
      </c>
      <c r="B46" s="143">
        <f t="shared" ref="B46:B49" si="9">B18</f>
        <v>17756.999999999996</v>
      </c>
      <c r="C46" s="141" t="s">
        <v>3</v>
      </c>
      <c r="D46" s="144">
        <f t="shared" ref="D46:M46" si="10">D18</f>
        <v>887.84999999999991</v>
      </c>
      <c r="E46" s="144">
        <f t="shared" si="10"/>
        <v>710.27999999999986</v>
      </c>
      <c r="F46" s="144">
        <f t="shared" si="10"/>
        <v>1065.4199999999998</v>
      </c>
      <c r="G46" s="144">
        <f t="shared" si="10"/>
        <v>1775.6999999999998</v>
      </c>
      <c r="H46" s="144">
        <f t="shared" si="10"/>
        <v>2663.5499999999993</v>
      </c>
      <c r="I46" s="144">
        <f t="shared" si="10"/>
        <v>3196.2599999999993</v>
      </c>
      <c r="J46" s="144">
        <f t="shared" si="10"/>
        <v>2663.5499999999993</v>
      </c>
      <c r="K46" s="144">
        <f t="shared" si="10"/>
        <v>2663.5499999999993</v>
      </c>
      <c r="L46" s="144">
        <f t="shared" si="10"/>
        <v>1775.6999999999998</v>
      </c>
      <c r="M46" s="144">
        <f t="shared" si="10"/>
        <v>355.13999999999828</v>
      </c>
    </row>
    <row r="47" spans="1:15" x14ac:dyDescent="0.25">
      <c r="A47" s="142" t="s">
        <v>155</v>
      </c>
      <c r="B47" s="143">
        <f t="shared" si="9"/>
        <v>9419.6999999999844</v>
      </c>
      <c r="C47" s="141" t="s">
        <v>155</v>
      </c>
      <c r="D47" s="144">
        <f t="shared" ref="D47:M47" si="11">D19</f>
        <v>470.98499999999922</v>
      </c>
      <c r="E47" s="144">
        <f t="shared" si="11"/>
        <v>376.78799999999939</v>
      </c>
      <c r="F47" s="144">
        <f t="shared" si="11"/>
        <v>565.18199999999899</v>
      </c>
      <c r="G47" s="144">
        <f t="shared" si="11"/>
        <v>941.96999999999844</v>
      </c>
      <c r="H47" s="144">
        <f t="shared" si="11"/>
        <v>1412.9549999999977</v>
      </c>
      <c r="I47" s="144">
        <f t="shared" si="11"/>
        <v>1695.5459999999971</v>
      </c>
      <c r="J47" s="144">
        <f t="shared" si="11"/>
        <v>1412.9549999999977</v>
      </c>
      <c r="K47" s="144">
        <f t="shared" si="11"/>
        <v>1412.9549999999977</v>
      </c>
      <c r="L47" s="144">
        <f t="shared" si="11"/>
        <v>941.96999999999844</v>
      </c>
      <c r="M47" s="144">
        <f t="shared" si="11"/>
        <v>188.39399999999881</v>
      </c>
    </row>
    <row r="48" spans="1:15" x14ac:dyDescent="0.25">
      <c r="A48" s="142" t="s">
        <v>156</v>
      </c>
      <c r="B48" s="143">
        <f t="shared" si="9"/>
        <v>15187.754999999999</v>
      </c>
      <c r="C48" s="141" t="s">
        <v>156</v>
      </c>
      <c r="D48" s="144">
        <f t="shared" ref="D48:M48" si="12">D20</f>
        <v>759.38774999999998</v>
      </c>
      <c r="E48" s="144">
        <f t="shared" si="12"/>
        <v>607.51019999999994</v>
      </c>
      <c r="F48" s="144">
        <f t="shared" si="12"/>
        <v>911.26529999999991</v>
      </c>
      <c r="G48" s="144">
        <f t="shared" si="12"/>
        <v>1518.7755</v>
      </c>
      <c r="H48" s="144">
        <f t="shared" si="12"/>
        <v>2278.1632499999996</v>
      </c>
      <c r="I48" s="144">
        <f t="shared" si="12"/>
        <v>2733.7958999999996</v>
      </c>
      <c r="J48" s="144">
        <f t="shared" si="12"/>
        <v>2278.1632499999996</v>
      </c>
      <c r="K48" s="144">
        <f t="shared" si="12"/>
        <v>2278.1632499999996</v>
      </c>
      <c r="L48" s="144">
        <f t="shared" si="12"/>
        <v>1518.7755</v>
      </c>
      <c r="M48" s="144">
        <f t="shared" si="12"/>
        <v>303.75509999999855</v>
      </c>
    </row>
    <row r="49" spans="1:13" x14ac:dyDescent="0.25">
      <c r="A49" s="142" t="s">
        <v>151</v>
      </c>
      <c r="B49" s="143">
        <f t="shared" si="9"/>
        <v>6022.4549999999854</v>
      </c>
      <c r="C49" s="141" t="s">
        <v>151</v>
      </c>
      <c r="D49" s="144">
        <f t="shared" ref="D49:M49" si="13">D21</f>
        <v>301.12274999999926</v>
      </c>
      <c r="E49" s="144">
        <f t="shared" si="13"/>
        <v>240.89819999999941</v>
      </c>
      <c r="F49" s="144">
        <f t="shared" si="13"/>
        <v>361.34729999999911</v>
      </c>
      <c r="G49" s="144">
        <f t="shared" si="13"/>
        <v>602.24549999999851</v>
      </c>
      <c r="H49" s="144">
        <f t="shared" si="13"/>
        <v>903.36824999999783</v>
      </c>
      <c r="I49" s="144">
        <f t="shared" si="13"/>
        <v>1084.0418999999974</v>
      </c>
      <c r="J49" s="144">
        <f t="shared" si="13"/>
        <v>903.36824999999783</v>
      </c>
      <c r="K49" s="144">
        <f t="shared" si="13"/>
        <v>903.36824999999783</v>
      </c>
      <c r="L49" s="144">
        <f t="shared" si="13"/>
        <v>602.24549999999851</v>
      </c>
      <c r="M49" s="144">
        <f t="shared" si="13"/>
        <v>120.44909999999915</v>
      </c>
    </row>
    <row r="50" spans="1:13" x14ac:dyDescent="0.25">
      <c r="A50" s="142" t="s">
        <v>157</v>
      </c>
      <c r="B50" s="143">
        <f>SUM(B22:B26)</f>
        <v>18441.974999999951</v>
      </c>
      <c r="C50" s="141" t="s">
        <v>157</v>
      </c>
      <c r="D50" s="144">
        <f>SUM(D22:D26)</f>
        <v>922.09874999999772</v>
      </c>
      <c r="E50" s="144">
        <f t="shared" ref="E50:M50" si="14">SUM(E22:E26)</f>
        <v>737.67899999999827</v>
      </c>
      <c r="F50" s="144">
        <f t="shared" si="14"/>
        <v>1106.5184999999972</v>
      </c>
      <c r="G50" s="144">
        <f t="shared" si="14"/>
        <v>1844.1974999999954</v>
      </c>
      <c r="H50" s="144">
        <f t="shared" si="14"/>
        <v>2766.2962499999926</v>
      </c>
      <c r="I50" s="144">
        <f t="shared" si="14"/>
        <v>3319.5554999999918</v>
      </c>
      <c r="J50" s="144">
        <f t="shared" si="14"/>
        <v>2766.2962499999926</v>
      </c>
      <c r="K50" s="144">
        <f t="shared" si="14"/>
        <v>2766.2962499999926</v>
      </c>
      <c r="L50" s="144">
        <f t="shared" si="14"/>
        <v>1844.1974999999954</v>
      </c>
      <c r="M50" s="144">
        <f t="shared" si="14"/>
        <v>368.83949999999732</v>
      </c>
    </row>
    <row r="51" spans="1:13" ht="6" customHeight="1" x14ac:dyDescent="0.25">
      <c r="A51" s="139"/>
      <c r="B51" s="139"/>
      <c r="C51" s="139"/>
      <c r="D51" s="139"/>
      <c r="E51" s="139"/>
      <c r="F51" s="139"/>
      <c r="G51" s="139"/>
      <c r="H51" s="139"/>
      <c r="I51" s="139"/>
      <c r="J51" s="139"/>
      <c r="K51" s="139"/>
      <c r="L51" s="139"/>
      <c r="M51" s="139"/>
    </row>
    <row r="52" spans="1:13" x14ac:dyDescent="0.25">
      <c r="A52" s="140" t="s">
        <v>160</v>
      </c>
      <c r="B52" s="141"/>
      <c r="C52" s="142" t="s">
        <v>220</v>
      </c>
      <c r="D52" s="142" t="s">
        <v>187</v>
      </c>
      <c r="E52" s="142" t="s">
        <v>188</v>
      </c>
      <c r="F52" s="142" t="s">
        <v>189</v>
      </c>
      <c r="G52" s="142" t="s">
        <v>190</v>
      </c>
      <c r="H52" s="142" t="s">
        <v>191</v>
      </c>
      <c r="I52" s="142" t="s">
        <v>192</v>
      </c>
      <c r="J52" s="142" t="s">
        <v>193</v>
      </c>
      <c r="K52" s="142" t="s">
        <v>194</v>
      </c>
      <c r="L52" s="142" t="s">
        <v>195</v>
      </c>
      <c r="M52" s="142" t="s">
        <v>196</v>
      </c>
    </row>
    <row r="53" spans="1:13" x14ac:dyDescent="0.25">
      <c r="A53" s="141" t="str">
        <f>A31</f>
        <v>Offices</v>
      </c>
      <c r="B53" s="145">
        <f>B31</f>
        <v>185.1865799999994</v>
      </c>
      <c r="C53" s="141" t="s">
        <v>6</v>
      </c>
      <c r="D53" s="146">
        <f>D31</f>
        <v>9.2593289999999708</v>
      </c>
      <c r="E53" s="146">
        <f t="shared" ref="E53:M53" si="15">E31</f>
        <v>7.4074631999999756</v>
      </c>
      <c r="F53" s="146">
        <f t="shared" si="15"/>
        <v>11.111194799999963</v>
      </c>
      <c r="G53" s="146">
        <f t="shared" si="15"/>
        <v>18.518657999999942</v>
      </c>
      <c r="H53" s="146">
        <f t="shared" si="15"/>
        <v>27.777986999999907</v>
      </c>
      <c r="I53" s="146">
        <f t="shared" si="15"/>
        <v>33.333584399999893</v>
      </c>
      <c r="J53" s="146">
        <f t="shared" si="15"/>
        <v>27.777986999999907</v>
      </c>
      <c r="K53" s="146">
        <f t="shared" si="15"/>
        <v>27.777986999999907</v>
      </c>
      <c r="L53" s="146">
        <f t="shared" si="15"/>
        <v>18.518657999999942</v>
      </c>
      <c r="M53" s="146">
        <f t="shared" si="15"/>
        <v>3.7037315999999705</v>
      </c>
    </row>
    <row r="54" spans="1:13" x14ac:dyDescent="0.25">
      <c r="A54" s="141" t="str">
        <f>A32</f>
        <v>Retail Trade</v>
      </c>
      <c r="B54" s="145">
        <f>B32</f>
        <v>71.027999999999992</v>
      </c>
      <c r="C54" s="141" t="s">
        <v>3</v>
      </c>
      <c r="D54" s="146">
        <f>D32</f>
        <v>3.5513999999999997</v>
      </c>
      <c r="E54" s="146">
        <f t="shared" ref="E54:M54" si="16">E32</f>
        <v>2.8411199999999996</v>
      </c>
      <c r="F54" s="146">
        <f t="shared" si="16"/>
        <v>4.2616799999999992</v>
      </c>
      <c r="G54" s="146">
        <f t="shared" si="16"/>
        <v>7.1027999999999993</v>
      </c>
      <c r="H54" s="146">
        <f t="shared" si="16"/>
        <v>10.654199999999998</v>
      </c>
      <c r="I54" s="146">
        <f t="shared" si="16"/>
        <v>12.785039999999999</v>
      </c>
      <c r="J54" s="146">
        <f t="shared" si="16"/>
        <v>10.654199999999998</v>
      </c>
      <c r="K54" s="146">
        <f t="shared" si="16"/>
        <v>10.654199999999998</v>
      </c>
      <c r="L54" s="146">
        <f t="shared" si="16"/>
        <v>7.1027999999999993</v>
      </c>
      <c r="M54" s="146">
        <f t="shared" si="16"/>
        <v>1.4205599999999932</v>
      </c>
    </row>
    <row r="55" spans="1:13" x14ac:dyDescent="0.25">
      <c r="A55" s="142" t="s">
        <v>155</v>
      </c>
      <c r="B55" s="145">
        <f>B33</f>
        <v>37.678799999999939</v>
      </c>
      <c r="C55" s="141" t="s">
        <v>155</v>
      </c>
      <c r="D55" s="146">
        <f>D33</f>
        <v>1.8839399999999971</v>
      </c>
      <c r="E55" s="146">
        <f t="shared" ref="E55:M55" si="17">E33</f>
        <v>1.5071519999999976</v>
      </c>
      <c r="F55" s="146">
        <f t="shared" si="17"/>
        <v>2.2607279999999963</v>
      </c>
      <c r="G55" s="146">
        <f t="shared" si="17"/>
        <v>3.7678799999999941</v>
      </c>
      <c r="H55" s="146">
        <f t="shared" si="17"/>
        <v>5.651819999999991</v>
      </c>
      <c r="I55" s="146">
        <f t="shared" si="17"/>
        <v>6.7821839999999884</v>
      </c>
      <c r="J55" s="146">
        <f t="shared" si="17"/>
        <v>5.651819999999991</v>
      </c>
      <c r="K55" s="146">
        <f t="shared" si="17"/>
        <v>5.651819999999991</v>
      </c>
      <c r="L55" s="146">
        <f t="shared" si="17"/>
        <v>3.7678799999999941</v>
      </c>
      <c r="M55" s="146">
        <f t="shared" si="17"/>
        <v>0.75357599999999525</v>
      </c>
    </row>
    <row r="56" spans="1:13" x14ac:dyDescent="0.25">
      <c r="A56" s="142" t="s">
        <v>156</v>
      </c>
      <c r="B56" s="145">
        <f>B34</f>
        <v>60.751019999999997</v>
      </c>
      <c r="C56" s="141" t="s">
        <v>156</v>
      </c>
      <c r="D56" s="146">
        <f>D34</f>
        <v>3.0375510000000001</v>
      </c>
      <c r="E56" s="146">
        <f t="shared" ref="E56:M56" si="18">E34</f>
        <v>2.4300408</v>
      </c>
      <c r="F56" s="146">
        <f t="shared" si="18"/>
        <v>3.6450611999999998</v>
      </c>
      <c r="G56" s="146">
        <f t="shared" si="18"/>
        <v>6.0751020000000002</v>
      </c>
      <c r="H56" s="146">
        <f t="shared" si="18"/>
        <v>9.1126529999999999</v>
      </c>
      <c r="I56" s="146">
        <f t="shared" si="18"/>
        <v>10.935183599999998</v>
      </c>
      <c r="J56" s="146">
        <f t="shared" si="18"/>
        <v>9.1126529999999999</v>
      </c>
      <c r="K56" s="146">
        <f t="shared" si="18"/>
        <v>9.1126529999999999</v>
      </c>
      <c r="L56" s="146">
        <f t="shared" si="18"/>
        <v>6.0751020000000002</v>
      </c>
      <c r="M56" s="146">
        <f t="shared" si="18"/>
        <v>1.2150203999999942</v>
      </c>
    </row>
    <row r="57" spans="1:13" x14ac:dyDescent="0.25">
      <c r="A57" s="142" t="s">
        <v>151</v>
      </c>
      <c r="B57" s="145">
        <f>B35</f>
        <v>24.089819999999943</v>
      </c>
      <c r="C57" s="141" t="s">
        <v>151</v>
      </c>
      <c r="D57" s="146">
        <f>D35</f>
        <v>1.2044909999999973</v>
      </c>
      <c r="E57" s="146">
        <f t="shared" ref="E57:M57" si="19">E35</f>
        <v>0.9635927999999977</v>
      </c>
      <c r="F57" s="146">
        <f t="shared" si="19"/>
        <v>1.4453891999999966</v>
      </c>
      <c r="G57" s="146">
        <f t="shared" si="19"/>
        <v>2.4089819999999946</v>
      </c>
      <c r="H57" s="146">
        <f t="shared" si="19"/>
        <v>3.6134729999999911</v>
      </c>
      <c r="I57" s="146">
        <f t="shared" si="19"/>
        <v>4.3361675999999898</v>
      </c>
      <c r="J57" s="146">
        <f t="shared" si="19"/>
        <v>3.6134729999999911</v>
      </c>
      <c r="K57" s="146">
        <f t="shared" si="19"/>
        <v>3.6134729999999911</v>
      </c>
      <c r="L57" s="146">
        <f t="shared" si="19"/>
        <v>2.4089819999999946</v>
      </c>
      <c r="M57" s="146">
        <f t="shared" si="19"/>
        <v>0.48179639999999663</v>
      </c>
    </row>
    <row r="58" spans="1:13" x14ac:dyDescent="0.25">
      <c r="A58" s="142" t="s">
        <v>157</v>
      </c>
      <c r="B58" s="145">
        <f>SUM(B36:B40)</f>
        <v>73.767899999999813</v>
      </c>
      <c r="C58" s="141" t="s">
        <v>157</v>
      </c>
      <c r="D58" s="146">
        <f>SUM(D36:D40)</f>
        <v>3.688394999999991</v>
      </c>
      <c r="E58" s="146">
        <f t="shared" ref="E58:M58" si="20">SUM(E36:E40)</f>
        <v>2.9507159999999928</v>
      </c>
      <c r="F58" s="146">
        <f t="shared" si="20"/>
        <v>4.4260739999999892</v>
      </c>
      <c r="G58" s="146">
        <f t="shared" si="20"/>
        <v>7.376789999999982</v>
      </c>
      <c r="H58" s="146">
        <f t="shared" si="20"/>
        <v>11.065184999999971</v>
      </c>
      <c r="I58" s="146">
        <f t="shared" si="20"/>
        <v>13.278221999999966</v>
      </c>
      <c r="J58" s="146">
        <f t="shared" si="20"/>
        <v>11.065184999999971</v>
      </c>
      <c r="K58" s="146">
        <f t="shared" si="20"/>
        <v>11.065184999999971</v>
      </c>
      <c r="L58" s="146">
        <f t="shared" si="20"/>
        <v>7.376789999999982</v>
      </c>
      <c r="M58" s="146">
        <f t="shared" si="20"/>
        <v>1.4753579999999893</v>
      </c>
    </row>
    <row r="61" spans="1:13" x14ac:dyDescent="0.25">
      <c r="A61" s="87"/>
    </row>
    <row r="62" spans="1:13" x14ac:dyDescent="0.25">
      <c r="A62" s="87"/>
    </row>
    <row r="63" spans="1:13" x14ac:dyDescent="0.25">
      <c r="A63" s="87"/>
      <c r="B63" s="88"/>
      <c r="D63" s="88"/>
      <c r="E63" s="88"/>
      <c r="F63" s="88"/>
      <c r="G63" s="88"/>
      <c r="H63" s="88"/>
    </row>
    <row r="64" spans="1:13" x14ac:dyDescent="0.25">
      <c r="B64" s="88"/>
      <c r="D64" s="88"/>
      <c r="E64" s="88"/>
      <c r="F64" s="88"/>
      <c r="G64" s="88"/>
      <c r="H64" s="88"/>
    </row>
    <row r="65" spans="2:8" x14ac:dyDescent="0.25">
      <c r="B65" s="88"/>
      <c r="D65" s="88"/>
      <c r="E65" s="88"/>
      <c r="F65" s="88"/>
      <c r="G65" s="88"/>
      <c r="H65" s="88"/>
    </row>
    <row r="66" spans="2:8" x14ac:dyDescent="0.25">
      <c r="B66" s="88"/>
      <c r="C66" s="88"/>
      <c r="D66" s="88"/>
      <c r="E66" s="88"/>
      <c r="F66" s="88"/>
      <c r="G66" s="88"/>
      <c r="H66" s="88"/>
    </row>
    <row r="67" spans="2:8" x14ac:dyDescent="0.25">
      <c r="B67" s="88"/>
      <c r="C67" s="88"/>
      <c r="D67" s="88"/>
      <c r="E67" s="88"/>
      <c r="F67" s="88"/>
      <c r="G67" s="88"/>
      <c r="H67" s="88"/>
    </row>
  </sheetData>
  <sheetProtection algorithmName="SHA-512" hashValue="1QLCD8C8BjvKKT8421vR/7BSdmEYNzT3mbLuqGHWidJBgGXyajXBPRIAUw7GTwiCwdtLjqiC8p4tUWYDmA8mQg==" saltValue="WEA68bAbRFHkbMp4NvF5yg==" spinCount="100000" sheet="1" objects="1" scenarios="1"/>
  <mergeCells count="3">
    <mergeCell ref="D2:N2"/>
    <mergeCell ref="D15:M15"/>
    <mergeCell ref="D1:N1"/>
  </mergeCells>
  <phoneticPr fontId="35" type="noConversion"/>
  <dataValidations disablePrompts="1" count="1">
    <dataValidation allowBlank="1" showInputMessage="1" showErrorMessage="1" promptTitle="Too much of a good thing?" prompt="The sum of the percentages in Cells D5 through M5, as displayed in Cell M4, should not exceed 100%." sqref="D5:M5" xr:uid="{1CB18E1B-AA8A-4B57-A9AD-61A4A3C408B4}"/>
  </dataValidations>
  <pageMargins left="0.7" right="0.7" top="0.75" bottom="0.75" header="0.3" footer="0.3"/>
  <pageSetup orientation="portrait"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D22D59-BBEB-4D40-AE1B-6D17FBBA0949}">
  <sheetPr>
    <tabColor rgb="FFFF0000"/>
  </sheetPr>
  <dimension ref="A1:AC177"/>
  <sheetViews>
    <sheetView zoomScaleNormal="100" workbookViewId="0"/>
  </sheetViews>
  <sheetFormatPr defaultRowHeight="12.75" x14ac:dyDescent="0.2"/>
  <cols>
    <col min="3" max="3" width="29.42578125" style="23" customWidth="1"/>
    <col min="4" max="4" width="19.5703125" customWidth="1"/>
    <col min="5" max="5" width="28.140625" customWidth="1"/>
    <col min="6" max="6" width="12.5703125" customWidth="1"/>
    <col min="7" max="7" width="15.28515625" customWidth="1"/>
    <col min="8" max="8" width="1.42578125" style="25" customWidth="1"/>
    <col min="9" max="9" width="9.7109375" customWidth="1"/>
    <col min="10" max="10" width="6.140625" customWidth="1"/>
    <col min="11" max="11" width="9.140625" customWidth="1"/>
    <col min="12" max="12" width="9.5703125" bestFit="1" customWidth="1"/>
    <col min="15" max="15" width="1.5703125" customWidth="1"/>
    <col min="17" max="17" width="3.140625" customWidth="1"/>
    <col min="18" max="18" width="12.5703125" customWidth="1"/>
    <col min="19" max="19" width="11.140625" style="6" customWidth="1"/>
    <col min="21" max="21" width="20.85546875" hidden="1" customWidth="1"/>
    <col min="22" max="23" width="0" hidden="1" customWidth="1"/>
    <col min="24" max="24" width="37" customWidth="1"/>
  </cols>
  <sheetData>
    <row r="1" spans="1:26" x14ac:dyDescent="0.2">
      <c r="A1" s="4" t="s">
        <v>184</v>
      </c>
      <c r="E1" s="4"/>
      <c r="F1" s="4"/>
      <c r="I1">
        <v>2</v>
      </c>
      <c r="J1">
        <v>2</v>
      </c>
      <c r="K1">
        <v>2</v>
      </c>
      <c r="L1">
        <v>3</v>
      </c>
      <c r="U1">
        <v>1</v>
      </c>
      <c r="V1" s="4" t="s">
        <v>36</v>
      </c>
      <c r="W1" s="4" t="s">
        <v>51</v>
      </c>
    </row>
    <row r="2" spans="1:26" x14ac:dyDescent="0.2">
      <c r="A2" s="4"/>
      <c r="B2" s="4" t="s">
        <v>44</v>
      </c>
      <c r="C2" s="24" t="s">
        <v>43</v>
      </c>
      <c r="F2" s="221" t="s">
        <v>183</v>
      </c>
      <c r="G2" s="221"/>
      <c r="I2" s="221" t="s">
        <v>30</v>
      </c>
      <c r="J2" s="221"/>
      <c r="K2" s="221" t="s">
        <v>28</v>
      </c>
      <c r="L2" s="221"/>
      <c r="M2" s="221" t="s">
        <v>29</v>
      </c>
      <c r="N2" s="221"/>
      <c r="P2" t="s">
        <v>38</v>
      </c>
      <c r="R2" s="221" t="s">
        <v>35</v>
      </c>
      <c r="S2" s="221"/>
      <c r="U2" s="68">
        <f>1/'CI BUILDING DEEP RETROFIT'!E4</f>
        <v>0.2857142857142857</v>
      </c>
      <c r="V2" s="4" t="s">
        <v>37</v>
      </c>
      <c r="W2" s="4" t="s">
        <v>52</v>
      </c>
      <c r="Z2" s="4"/>
    </row>
    <row r="3" spans="1:26" x14ac:dyDescent="0.2">
      <c r="F3" s="4" t="s">
        <v>168</v>
      </c>
      <c r="G3" s="4" t="s">
        <v>169</v>
      </c>
      <c r="I3" s="4" t="s">
        <v>168</v>
      </c>
      <c r="J3" s="4" t="s">
        <v>169</v>
      </c>
      <c r="K3" s="4" t="s">
        <v>168</v>
      </c>
      <c r="L3" s="4" t="s">
        <v>169</v>
      </c>
      <c r="M3" s="4" t="s">
        <v>168</v>
      </c>
      <c r="N3" s="4" t="s">
        <v>169</v>
      </c>
      <c r="R3" s="4" t="s">
        <v>168</v>
      </c>
      <c r="S3" s="129" t="s">
        <v>169</v>
      </c>
    </row>
    <row r="4" spans="1:26" x14ac:dyDescent="0.2">
      <c r="A4">
        <v>2</v>
      </c>
      <c r="B4">
        <v>145</v>
      </c>
      <c r="C4" s="3" t="s">
        <v>7</v>
      </c>
      <c r="D4" s="20" t="s">
        <v>13</v>
      </c>
      <c r="E4" s="9" t="s">
        <v>15</v>
      </c>
      <c r="F4" s="29">
        <f>I4*K4*M4</f>
        <v>10091.066041747259</v>
      </c>
      <c r="G4" s="29">
        <f>J4*L4*N4</f>
        <v>9788.3340604948407</v>
      </c>
      <c r="H4" s="26"/>
      <c r="I4" s="7">
        <f t="shared" ref="I4:I35" si="0">VLOOKUP($D4,cint2019,$P4)*R4</f>
        <v>279.2622510738916</v>
      </c>
      <c r="J4" s="7">
        <f t="shared" ref="J4:J35" si="1">VLOOKUP($D4,cint2030,$P4)*S4</f>
        <v>251.33602596650246</v>
      </c>
      <c r="K4" s="6">
        <f>VLOOKUP($C4,cfloorarea,K$1)</f>
        <v>40.149699999999903</v>
      </c>
      <c r="L4" s="6">
        <f t="shared" ref="K4:L23" si="2">VLOOKUP($C4,cfloorarea,L$1)</f>
        <v>40.149699999999903</v>
      </c>
      <c r="M4" s="41">
        <f t="shared" ref="M4:M23" si="3">HLOOKUP($C4,eqsh19,$A4)/100</f>
        <v>0.9</v>
      </c>
      <c r="N4" s="41">
        <f t="shared" ref="N4:N23" si="4">HLOOKUP($C4,eqshint,$A4)/100</f>
        <v>0.97</v>
      </c>
      <c r="P4">
        <v>2</v>
      </c>
      <c r="R4">
        <v>1</v>
      </c>
      <c r="S4" s="6">
        <f t="shared" ref="S4:S35" si="5">commeff</f>
        <v>1</v>
      </c>
    </row>
    <row r="5" spans="1:26" x14ac:dyDescent="0.2">
      <c r="A5">
        <v>3</v>
      </c>
      <c r="B5">
        <v>145</v>
      </c>
      <c r="C5" s="3" t="s">
        <v>7</v>
      </c>
      <c r="D5" s="20" t="s">
        <v>13</v>
      </c>
      <c r="E5" s="9" t="s">
        <v>9</v>
      </c>
      <c r="F5" s="29">
        <f>I5*K5*M5</f>
        <v>1121.22956019414</v>
      </c>
      <c r="G5" s="29">
        <f t="shared" ref="G5:G68" si="6">J5*L5*N5</f>
        <v>302.73198125241777</v>
      </c>
      <c r="H5" s="26"/>
      <c r="I5" s="7">
        <f t="shared" si="0"/>
        <v>279.2622510738916</v>
      </c>
      <c r="J5" s="7">
        <f t="shared" si="1"/>
        <v>251.33602596650246</v>
      </c>
      <c r="K5" s="6">
        <f t="shared" si="2"/>
        <v>40.149699999999903</v>
      </c>
      <c r="L5" s="6">
        <f t="shared" si="2"/>
        <v>40.149699999999903</v>
      </c>
      <c r="M5" s="41">
        <f t="shared" si="3"/>
        <v>0.1</v>
      </c>
      <c r="N5" s="41">
        <f t="shared" si="4"/>
        <v>0.03</v>
      </c>
      <c r="P5">
        <v>2</v>
      </c>
      <c r="R5">
        <v>1</v>
      </c>
      <c r="S5" s="6">
        <f t="shared" si="5"/>
        <v>1</v>
      </c>
    </row>
    <row r="6" spans="1:26" x14ac:dyDescent="0.2">
      <c r="A6">
        <v>2</v>
      </c>
      <c r="B6">
        <v>127</v>
      </c>
      <c r="C6" s="3" t="s">
        <v>6</v>
      </c>
      <c r="D6" s="21" t="s">
        <v>13</v>
      </c>
      <c r="E6" s="9" t="s">
        <v>15</v>
      </c>
      <c r="F6" s="29">
        <f t="shared" ref="F6:F68" si="7">I6*K6*M6</f>
        <v>2998.160358796395</v>
      </c>
      <c r="G6" s="29">
        <f t="shared" si="6"/>
        <v>2908.2155480325032</v>
      </c>
      <c r="H6" s="26"/>
      <c r="I6" s="7">
        <f t="shared" si="0"/>
        <v>186.73355573221392</v>
      </c>
      <c r="J6" s="7">
        <f t="shared" si="1"/>
        <v>168.06020015899253</v>
      </c>
      <c r="K6" s="6">
        <f t="shared" si="2"/>
        <v>17.8398</v>
      </c>
      <c r="L6" s="6">
        <f t="shared" si="2"/>
        <v>17.8398</v>
      </c>
      <c r="M6" s="41">
        <f t="shared" si="3"/>
        <v>0.9</v>
      </c>
      <c r="N6" s="41">
        <f t="shared" si="4"/>
        <v>0.97</v>
      </c>
      <c r="P6">
        <v>3</v>
      </c>
      <c r="R6">
        <v>1</v>
      </c>
      <c r="S6" s="6">
        <f t="shared" si="5"/>
        <v>1</v>
      </c>
    </row>
    <row r="7" spans="1:26" x14ac:dyDescent="0.2">
      <c r="A7">
        <v>3</v>
      </c>
      <c r="B7">
        <v>128</v>
      </c>
      <c r="C7" s="3" t="s">
        <v>6</v>
      </c>
      <c r="D7" s="21" t="s">
        <v>13</v>
      </c>
      <c r="E7" s="9" t="s">
        <v>9</v>
      </c>
      <c r="F7" s="29">
        <f t="shared" si="7"/>
        <v>333.12892875515502</v>
      </c>
      <c r="G7" s="29">
        <f t="shared" si="6"/>
        <v>89.944810763891851</v>
      </c>
      <c r="H7" s="26"/>
      <c r="I7" s="7">
        <f t="shared" si="0"/>
        <v>186.73355573221392</v>
      </c>
      <c r="J7" s="7">
        <f t="shared" si="1"/>
        <v>168.06020015899253</v>
      </c>
      <c r="K7" s="6">
        <f t="shared" si="2"/>
        <v>17.8398</v>
      </c>
      <c r="L7" s="6">
        <f t="shared" si="2"/>
        <v>17.8398</v>
      </c>
      <c r="M7" s="41">
        <f t="shared" si="3"/>
        <v>0.1</v>
      </c>
      <c r="N7" s="41">
        <f t="shared" si="4"/>
        <v>0.03</v>
      </c>
      <c r="P7">
        <v>3</v>
      </c>
      <c r="R7">
        <v>1</v>
      </c>
      <c r="S7" s="6">
        <f t="shared" si="5"/>
        <v>1</v>
      </c>
    </row>
    <row r="8" spans="1:26" x14ac:dyDescent="0.2">
      <c r="A8">
        <v>2</v>
      </c>
      <c r="B8">
        <v>95</v>
      </c>
      <c r="C8" s="3" t="s">
        <v>4</v>
      </c>
      <c r="D8" s="20" t="s">
        <v>13</v>
      </c>
      <c r="E8" s="9" t="s">
        <v>15</v>
      </c>
      <c r="F8" s="29">
        <f t="shared" si="7"/>
        <v>17870.139034554242</v>
      </c>
      <c r="G8" s="29">
        <f t="shared" si="6"/>
        <v>17334.034863517616</v>
      </c>
      <c r="H8" s="26"/>
      <c r="I8" s="7">
        <f t="shared" si="0"/>
        <v>196.1024855720309</v>
      </c>
      <c r="J8" s="7">
        <f t="shared" si="1"/>
        <v>176.49223701482782</v>
      </c>
      <c r="K8" s="6">
        <f t="shared" si="2"/>
        <v>101.2517</v>
      </c>
      <c r="L8" s="6">
        <f t="shared" si="2"/>
        <v>101.2517</v>
      </c>
      <c r="M8" s="41">
        <f t="shared" si="3"/>
        <v>0.9</v>
      </c>
      <c r="N8" s="41">
        <f t="shared" si="4"/>
        <v>0.97</v>
      </c>
      <c r="P8">
        <v>4</v>
      </c>
      <c r="R8">
        <v>1</v>
      </c>
      <c r="S8" s="6">
        <f t="shared" si="5"/>
        <v>1</v>
      </c>
    </row>
    <row r="9" spans="1:26" x14ac:dyDescent="0.2">
      <c r="A9">
        <v>3</v>
      </c>
      <c r="B9">
        <v>95</v>
      </c>
      <c r="C9" s="3" t="s">
        <v>4</v>
      </c>
      <c r="D9" s="20" t="s">
        <v>13</v>
      </c>
      <c r="E9" s="9" t="s">
        <v>9</v>
      </c>
      <c r="F9" s="29">
        <f t="shared" si="7"/>
        <v>1985.5710038393602</v>
      </c>
      <c r="G9" s="29">
        <f t="shared" si="6"/>
        <v>536.10417103662724</v>
      </c>
      <c r="H9" s="26"/>
      <c r="I9" s="7">
        <f t="shared" si="0"/>
        <v>196.1024855720309</v>
      </c>
      <c r="J9" s="7">
        <f t="shared" si="1"/>
        <v>176.49223701482782</v>
      </c>
      <c r="K9" s="6">
        <f t="shared" si="2"/>
        <v>101.2517</v>
      </c>
      <c r="L9" s="6">
        <f t="shared" si="2"/>
        <v>101.2517</v>
      </c>
      <c r="M9" s="41">
        <f t="shared" si="3"/>
        <v>0.1</v>
      </c>
      <c r="N9" s="41">
        <f t="shared" si="4"/>
        <v>0.03</v>
      </c>
      <c r="P9">
        <v>4</v>
      </c>
      <c r="R9">
        <v>1</v>
      </c>
      <c r="S9" s="6">
        <f t="shared" si="5"/>
        <v>1</v>
      </c>
    </row>
    <row r="10" spans="1:26" x14ac:dyDescent="0.2">
      <c r="A10">
        <v>2</v>
      </c>
      <c r="B10">
        <v>113</v>
      </c>
      <c r="C10" s="3" t="s">
        <v>5</v>
      </c>
      <c r="D10" s="20" t="s">
        <v>13</v>
      </c>
      <c r="E10" s="9" t="s">
        <v>15</v>
      </c>
      <c r="F10" s="29">
        <f t="shared" si="7"/>
        <v>24042.437406394656</v>
      </c>
      <c r="G10" s="29">
        <f t="shared" si="6"/>
        <v>23321.164284202812</v>
      </c>
      <c r="H10" s="26"/>
      <c r="I10" s="7">
        <f t="shared" si="0"/>
        <v>425.392836403047</v>
      </c>
      <c r="J10" s="7">
        <f t="shared" si="1"/>
        <v>382.85355276274231</v>
      </c>
      <c r="K10" s="6">
        <f t="shared" si="2"/>
        <v>62.797999999999902</v>
      </c>
      <c r="L10" s="6">
        <f t="shared" si="2"/>
        <v>62.797999999999902</v>
      </c>
      <c r="M10" s="41">
        <f t="shared" si="3"/>
        <v>0.9</v>
      </c>
      <c r="N10" s="41">
        <f t="shared" si="4"/>
        <v>0.97</v>
      </c>
      <c r="P10">
        <v>5</v>
      </c>
      <c r="R10">
        <v>1</v>
      </c>
      <c r="S10" s="6">
        <f t="shared" si="5"/>
        <v>1</v>
      </c>
    </row>
    <row r="11" spans="1:26" x14ac:dyDescent="0.2">
      <c r="A11">
        <v>3</v>
      </c>
      <c r="B11">
        <v>113</v>
      </c>
      <c r="C11" s="3" t="s">
        <v>5</v>
      </c>
      <c r="D11" s="20" t="s">
        <v>13</v>
      </c>
      <c r="E11" s="9" t="s">
        <v>9</v>
      </c>
      <c r="F11" s="29">
        <f t="shared" si="7"/>
        <v>2671.3819340438508</v>
      </c>
      <c r="G11" s="29">
        <f t="shared" si="6"/>
        <v>721.27312219183955</v>
      </c>
      <c r="H11" s="26"/>
      <c r="I11" s="7">
        <f t="shared" si="0"/>
        <v>425.392836403047</v>
      </c>
      <c r="J11" s="7">
        <f t="shared" si="1"/>
        <v>382.85355276274231</v>
      </c>
      <c r="K11" s="6">
        <f t="shared" si="2"/>
        <v>62.797999999999902</v>
      </c>
      <c r="L11" s="6">
        <f t="shared" si="2"/>
        <v>62.797999999999902</v>
      </c>
      <c r="M11" s="41">
        <f t="shared" si="3"/>
        <v>0.1</v>
      </c>
      <c r="N11" s="41">
        <f t="shared" si="4"/>
        <v>0.03</v>
      </c>
      <c r="P11">
        <v>5</v>
      </c>
      <c r="R11">
        <v>1</v>
      </c>
      <c r="S11" s="6">
        <f t="shared" si="5"/>
        <v>1</v>
      </c>
    </row>
    <row r="12" spans="1:26" x14ac:dyDescent="0.2">
      <c r="A12">
        <v>2</v>
      </c>
      <c r="B12">
        <v>63</v>
      </c>
      <c r="C12" s="3" t="s">
        <v>3</v>
      </c>
      <c r="D12" s="20" t="s">
        <v>13</v>
      </c>
      <c r="E12" s="9" t="s">
        <v>15</v>
      </c>
      <c r="F12" s="29">
        <f t="shared" si="7"/>
        <v>2445.6020931243993</v>
      </c>
      <c r="G12" s="29">
        <f t="shared" si="6"/>
        <v>2372.2340303306669</v>
      </c>
      <c r="H12" s="26"/>
      <c r="I12" s="7">
        <f t="shared" si="0"/>
        <v>185.74103768546928</v>
      </c>
      <c r="J12" s="7">
        <f t="shared" si="1"/>
        <v>167.16693391692235</v>
      </c>
      <c r="K12" s="6">
        <f t="shared" si="2"/>
        <v>14.6297</v>
      </c>
      <c r="L12" s="6">
        <f t="shared" si="2"/>
        <v>14.6297</v>
      </c>
      <c r="M12" s="41">
        <f t="shared" si="3"/>
        <v>0.9</v>
      </c>
      <c r="N12" s="41">
        <f t="shared" si="4"/>
        <v>0.97</v>
      </c>
      <c r="P12">
        <v>6</v>
      </c>
      <c r="R12">
        <v>1</v>
      </c>
      <c r="S12" s="6">
        <f t="shared" si="5"/>
        <v>1</v>
      </c>
    </row>
    <row r="13" spans="1:26" x14ac:dyDescent="0.2">
      <c r="A13">
        <v>3</v>
      </c>
      <c r="B13">
        <v>63</v>
      </c>
      <c r="C13" s="3" t="s">
        <v>3</v>
      </c>
      <c r="D13" s="20" t="s">
        <v>13</v>
      </c>
      <c r="E13" s="9" t="s">
        <v>9</v>
      </c>
      <c r="F13" s="29">
        <f t="shared" si="7"/>
        <v>271.73356590271101</v>
      </c>
      <c r="G13" s="29">
        <f t="shared" si="6"/>
        <v>73.368062793731966</v>
      </c>
      <c r="H13" s="26"/>
      <c r="I13" s="7">
        <f t="shared" si="0"/>
        <v>185.74103768546928</v>
      </c>
      <c r="J13" s="7">
        <f t="shared" si="1"/>
        <v>167.16693391692235</v>
      </c>
      <c r="K13" s="6">
        <f t="shared" si="2"/>
        <v>14.6297</v>
      </c>
      <c r="L13" s="6">
        <f t="shared" si="2"/>
        <v>14.6297</v>
      </c>
      <c r="M13" s="41">
        <f t="shared" si="3"/>
        <v>0.1</v>
      </c>
      <c r="N13" s="41">
        <f t="shared" si="4"/>
        <v>0.03</v>
      </c>
      <c r="P13">
        <v>6</v>
      </c>
      <c r="R13">
        <v>1</v>
      </c>
      <c r="S13" s="6">
        <f t="shared" si="5"/>
        <v>1</v>
      </c>
    </row>
    <row r="14" spans="1:26" x14ac:dyDescent="0.2">
      <c r="A14">
        <v>2</v>
      </c>
      <c r="B14">
        <v>79</v>
      </c>
      <c r="C14" s="24" t="s">
        <v>24</v>
      </c>
      <c r="D14" s="20" t="s">
        <v>13</v>
      </c>
      <c r="E14" s="9" t="s">
        <v>15</v>
      </c>
      <c r="F14" s="29">
        <f t="shared" si="7"/>
        <v>53708.813437208846</v>
      </c>
      <c r="G14" s="29">
        <f t="shared" si="6"/>
        <v>52097.549034092583</v>
      </c>
      <c r="H14" s="26"/>
      <c r="I14" s="7">
        <f t="shared" si="0"/>
        <v>193.35027205970331</v>
      </c>
      <c r="J14" s="7">
        <f t="shared" si="1"/>
        <v>174.01524485373298</v>
      </c>
      <c r="K14" s="6">
        <f t="shared" si="2"/>
        <v>308.64429999999902</v>
      </c>
      <c r="L14" s="6">
        <f t="shared" si="2"/>
        <v>308.64429999999902</v>
      </c>
      <c r="M14" s="41">
        <f t="shared" si="3"/>
        <v>0.9</v>
      </c>
      <c r="N14" s="41">
        <f t="shared" si="4"/>
        <v>0.97</v>
      </c>
      <c r="P14">
        <v>7</v>
      </c>
      <c r="R14">
        <v>1</v>
      </c>
      <c r="S14" s="6">
        <f t="shared" si="5"/>
        <v>1</v>
      </c>
    </row>
    <row r="15" spans="1:26" x14ac:dyDescent="0.2">
      <c r="A15">
        <v>3</v>
      </c>
      <c r="B15">
        <v>79</v>
      </c>
      <c r="C15" s="24" t="s">
        <v>24</v>
      </c>
      <c r="D15" s="20" t="s">
        <v>13</v>
      </c>
      <c r="E15" s="9" t="s">
        <v>9</v>
      </c>
      <c r="F15" s="29">
        <f t="shared" si="7"/>
        <v>5967.6459374676497</v>
      </c>
      <c r="G15" s="29">
        <f t="shared" si="6"/>
        <v>1611.2644031162654</v>
      </c>
      <c r="H15" s="26"/>
      <c r="I15" s="7">
        <f t="shared" si="0"/>
        <v>193.35027205970331</v>
      </c>
      <c r="J15" s="7">
        <f t="shared" si="1"/>
        <v>174.01524485373298</v>
      </c>
      <c r="K15" s="6">
        <f t="shared" si="2"/>
        <v>308.64429999999902</v>
      </c>
      <c r="L15" s="6">
        <f t="shared" si="2"/>
        <v>308.64429999999902</v>
      </c>
      <c r="M15" s="41">
        <f t="shared" si="3"/>
        <v>0.1</v>
      </c>
      <c r="N15" s="41">
        <f t="shared" si="4"/>
        <v>0.03</v>
      </c>
      <c r="P15">
        <v>7</v>
      </c>
      <c r="R15">
        <v>1</v>
      </c>
      <c r="S15" s="6">
        <f t="shared" si="5"/>
        <v>1</v>
      </c>
    </row>
    <row r="16" spans="1:26" x14ac:dyDescent="0.2">
      <c r="A16">
        <v>2</v>
      </c>
      <c r="B16">
        <v>161</v>
      </c>
      <c r="C16" s="3" t="s">
        <v>8</v>
      </c>
      <c r="D16" s="20" t="s">
        <v>13</v>
      </c>
      <c r="E16" s="9" t="s">
        <v>15</v>
      </c>
      <c r="F16" s="29">
        <f t="shared" si="7"/>
        <v>1812.8964389683861</v>
      </c>
      <c r="G16" s="29">
        <f t="shared" si="6"/>
        <v>1758.5095457993345</v>
      </c>
      <c r="H16" s="26"/>
      <c r="I16" s="7">
        <f t="shared" si="0"/>
        <v>160.57342415314608</v>
      </c>
      <c r="J16" s="7">
        <f t="shared" si="1"/>
        <v>144.51608173783148</v>
      </c>
      <c r="K16" s="6">
        <f t="shared" si="2"/>
        <v>12.5445999999999</v>
      </c>
      <c r="L16" s="6">
        <f t="shared" si="2"/>
        <v>12.5445999999999</v>
      </c>
      <c r="M16" s="41">
        <f t="shared" si="3"/>
        <v>0.9</v>
      </c>
      <c r="N16" s="41">
        <f t="shared" si="4"/>
        <v>0.97</v>
      </c>
      <c r="P16">
        <v>8</v>
      </c>
      <c r="R16">
        <v>1</v>
      </c>
      <c r="S16" s="6">
        <f t="shared" si="5"/>
        <v>1</v>
      </c>
    </row>
    <row r="17" spans="1:19" x14ac:dyDescent="0.2">
      <c r="A17">
        <v>3</v>
      </c>
      <c r="B17">
        <v>161</v>
      </c>
      <c r="C17" s="3" t="s">
        <v>8</v>
      </c>
      <c r="D17" s="20" t="s">
        <v>13</v>
      </c>
      <c r="E17" s="9" t="s">
        <v>9</v>
      </c>
      <c r="F17" s="29">
        <f t="shared" si="7"/>
        <v>201.43293766315401</v>
      </c>
      <c r="G17" s="29">
        <f t="shared" si="6"/>
        <v>54.386893169051589</v>
      </c>
      <c r="H17" s="26"/>
      <c r="I17" s="7">
        <f t="shared" si="0"/>
        <v>160.57342415314608</v>
      </c>
      <c r="J17" s="7">
        <f t="shared" si="1"/>
        <v>144.51608173783148</v>
      </c>
      <c r="K17" s="6">
        <f t="shared" si="2"/>
        <v>12.5445999999999</v>
      </c>
      <c r="L17" s="6">
        <f t="shared" si="2"/>
        <v>12.5445999999999</v>
      </c>
      <c r="M17" s="41">
        <f t="shared" si="3"/>
        <v>0.1</v>
      </c>
      <c r="N17" s="41">
        <f t="shared" si="4"/>
        <v>0.03</v>
      </c>
      <c r="P17">
        <v>8</v>
      </c>
      <c r="R17">
        <v>1</v>
      </c>
      <c r="S17" s="6">
        <f t="shared" si="5"/>
        <v>1</v>
      </c>
    </row>
    <row r="18" spans="1:19" x14ac:dyDescent="0.2">
      <c r="A18">
        <v>2</v>
      </c>
      <c r="B18">
        <v>29</v>
      </c>
      <c r="C18" s="3" t="s">
        <v>1</v>
      </c>
      <c r="D18" s="20" t="s">
        <v>13</v>
      </c>
      <c r="E18" s="9" t="s">
        <v>15</v>
      </c>
      <c r="F18" s="29">
        <f t="shared" si="7"/>
        <v>16975.755843741088</v>
      </c>
      <c r="G18" s="29">
        <f t="shared" si="6"/>
        <v>16466.483168428858</v>
      </c>
      <c r="H18" s="26"/>
      <c r="I18" s="7">
        <f t="shared" si="0"/>
        <v>159.33393256876246</v>
      </c>
      <c r="J18" s="7">
        <f t="shared" si="1"/>
        <v>143.40053931188623</v>
      </c>
      <c r="K18" s="6">
        <f t="shared" si="2"/>
        <v>118.38</v>
      </c>
      <c r="L18" s="6">
        <f t="shared" si="2"/>
        <v>118.38</v>
      </c>
      <c r="M18" s="41">
        <f t="shared" si="3"/>
        <v>0.9</v>
      </c>
      <c r="N18" s="41">
        <f t="shared" si="4"/>
        <v>0.97</v>
      </c>
      <c r="P18">
        <v>9</v>
      </c>
      <c r="R18">
        <v>1</v>
      </c>
      <c r="S18" s="6">
        <f t="shared" si="5"/>
        <v>1</v>
      </c>
    </row>
    <row r="19" spans="1:19" x14ac:dyDescent="0.2">
      <c r="A19">
        <v>3</v>
      </c>
      <c r="B19">
        <v>29</v>
      </c>
      <c r="C19" s="3" t="s">
        <v>1</v>
      </c>
      <c r="D19" s="20" t="s">
        <v>13</v>
      </c>
      <c r="E19" s="9" t="s">
        <v>9</v>
      </c>
      <c r="F19" s="29">
        <f t="shared" si="7"/>
        <v>1886.1950937490101</v>
      </c>
      <c r="G19" s="29">
        <f t="shared" si="6"/>
        <v>509.27267531223271</v>
      </c>
      <c r="H19" s="26"/>
      <c r="I19" s="7">
        <f t="shared" si="0"/>
        <v>159.33393256876246</v>
      </c>
      <c r="J19" s="7">
        <f t="shared" si="1"/>
        <v>143.40053931188623</v>
      </c>
      <c r="K19" s="6">
        <f t="shared" si="2"/>
        <v>118.38</v>
      </c>
      <c r="L19" s="6">
        <f t="shared" si="2"/>
        <v>118.38</v>
      </c>
      <c r="M19" s="41">
        <f t="shared" si="3"/>
        <v>0.1</v>
      </c>
      <c r="N19" s="41">
        <f t="shared" si="4"/>
        <v>0.03</v>
      </c>
      <c r="P19">
        <v>9</v>
      </c>
      <c r="R19">
        <v>1</v>
      </c>
      <c r="S19" s="6">
        <f t="shared" si="5"/>
        <v>1</v>
      </c>
    </row>
    <row r="20" spans="1:19" x14ac:dyDescent="0.2">
      <c r="A20">
        <v>2</v>
      </c>
      <c r="B20">
        <v>47</v>
      </c>
      <c r="C20" s="3" t="s">
        <v>2</v>
      </c>
      <c r="D20" s="20" t="s">
        <v>13</v>
      </c>
      <c r="E20" s="9" t="s">
        <v>15</v>
      </c>
      <c r="F20" s="29">
        <f t="shared" si="7"/>
        <v>1912.8728560008781</v>
      </c>
      <c r="G20" s="29">
        <f t="shared" si="6"/>
        <v>1855.4866703208515</v>
      </c>
      <c r="H20" s="26"/>
      <c r="I20" s="7">
        <f t="shared" si="0"/>
        <v>64.712209634163415</v>
      </c>
      <c r="J20" s="7">
        <f t="shared" si="1"/>
        <v>58.240988670747072</v>
      </c>
      <c r="K20" s="6">
        <f t="shared" si="2"/>
        <v>32.844099999999898</v>
      </c>
      <c r="L20" s="6">
        <f t="shared" si="2"/>
        <v>32.844099999999898</v>
      </c>
      <c r="M20" s="41">
        <f t="shared" si="3"/>
        <v>0.9</v>
      </c>
      <c r="N20" s="41">
        <f t="shared" si="4"/>
        <v>0.97</v>
      </c>
      <c r="P20">
        <v>10</v>
      </c>
      <c r="R20">
        <v>1</v>
      </c>
      <c r="S20" s="6">
        <f t="shared" si="5"/>
        <v>1</v>
      </c>
    </row>
    <row r="21" spans="1:19" x14ac:dyDescent="0.2">
      <c r="A21">
        <v>3</v>
      </c>
      <c r="B21">
        <v>47</v>
      </c>
      <c r="C21" s="3" t="s">
        <v>2</v>
      </c>
      <c r="D21" s="20" t="s">
        <v>13</v>
      </c>
      <c r="E21" s="9" t="s">
        <v>9</v>
      </c>
      <c r="F21" s="29">
        <f t="shared" si="7"/>
        <v>212.54142844454202</v>
      </c>
      <c r="G21" s="29">
        <f t="shared" si="6"/>
        <v>57.386185680026337</v>
      </c>
      <c r="H21" s="26"/>
      <c r="I21" s="7">
        <f t="shared" si="0"/>
        <v>64.712209634163415</v>
      </c>
      <c r="J21" s="7">
        <f t="shared" si="1"/>
        <v>58.240988670747072</v>
      </c>
      <c r="K21" s="6">
        <f t="shared" si="2"/>
        <v>32.844099999999898</v>
      </c>
      <c r="L21" s="6">
        <f t="shared" si="2"/>
        <v>32.844099999999898</v>
      </c>
      <c r="M21" s="41">
        <f t="shared" si="3"/>
        <v>0.1</v>
      </c>
      <c r="N21" s="41">
        <f t="shared" si="4"/>
        <v>0.03</v>
      </c>
      <c r="P21">
        <v>10</v>
      </c>
      <c r="R21">
        <v>1</v>
      </c>
      <c r="S21" s="6">
        <f t="shared" si="5"/>
        <v>1</v>
      </c>
    </row>
    <row r="22" spans="1:19" x14ac:dyDescent="0.2">
      <c r="A22">
        <v>2</v>
      </c>
      <c r="B22">
        <v>13</v>
      </c>
      <c r="C22" s="3" t="s">
        <v>0</v>
      </c>
      <c r="D22" s="20" t="s">
        <v>13</v>
      </c>
      <c r="E22" s="9" t="s">
        <v>15</v>
      </c>
      <c r="F22" s="29">
        <f t="shared" si="7"/>
        <v>6066.1455859000625</v>
      </c>
      <c r="G22" s="29">
        <f t="shared" si="6"/>
        <v>5884.1612183230609</v>
      </c>
      <c r="H22" s="26"/>
      <c r="I22" s="7">
        <f t="shared" si="0"/>
        <v>149.48804372999638</v>
      </c>
      <c r="J22" s="7">
        <f t="shared" si="1"/>
        <v>134.53923935699675</v>
      </c>
      <c r="K22" s="6">
        <f t="shared" si="2"/>
        <v>45.088299999999897</v>
      </c>
      <c r="L22" s="6">
        <f t="shared" si="2"/>
        <v>45.088299999999897</v>
      </c>
      <c r="M22" s="41">
        <f t="shared" si="3"/>
        <v>0.9</v>
      </c>
      <c r="N22" s="41">
        <f t="shared" si="4"/>
        <v>0.97</v>
      </c>
      <c r="P22">
        <v>11</v>
      </c>
      <c r="R22">
        <v>1</v>
      </c>
      <c r="S22" s="6">
        <f t="shared" si="5"/>
        <v>1</v>
      </c>
    </row>
    <row r="23" spans="1:19" x14ac:dyDescent="0.2">
      <c r="A23">
        <v>3</v>
      </c>
      <c r="B23">
        <v>13</v>
      </c>
      <c r="C23" s="3" t="s">
        <v>0</v>
      </c>
      <c r="D23" s="20" t="s">
        <v>13</v>
      </c>
      <c r="E23" s="9" t="s">
        <v>9</v>
      </c>
      <c r="F23" s="29">
        <f t="shared" si="7"/>
        <v>674.01617621111802</v>
      </c>
      <c r="G23" s="29">
        <f t="shared" si="6"/>
        <v>181.98436757700188</v>
      </c>
      <c r="H23" s="26"/>
      <c r="I23" s="7">
        <f t="shared" si="0"/>
        <v>149.48804372999638</v>
      </c>
      <c r="J23" s="7">
        <f t="shared" si="1"/>
        <v>134.53923935699675</v>
      </c>
      <c r="K23" s="6">
        <f t="shared" si="2"/>
        <v>45.088299999999897</v>
      </c>
      <c r="L23" s="6">
        <f t="shared" si="2"/>
        <v>45.088299999999897</v>
      </c>
      <c r="M23" s="41">
        <f t="shared" si="3"/>
        <v>0.1</v>
      </c>
      <c r="N23" s="41">
        <f t="shared" si="4"/>
        <v>0.03</v>
      </c>
      <c r="P23">
        <v>11</v>
      </c>
      <c r="R23">
        <v>1</v>
      </c>
      <c r="S23" s="6">
        <f t="shared" si="5"/>
        <v>1</v>
      </c>
    </row>
    <row r="24" spans="1:19" x14ac:dyDescent="0.2">
      <c r="B24">
        <v>146</v>
      </c>
      <c r="C24" s="3" t="s">
        <v>7</v>
      </c>
      <c r="D24" s="20" t="s">
        <v>12</v>
      </c>
      <c r="E24" s="22" t="s">
        <v>15</v>
      </c>
      <c r="F24" s="29">
        <f t="shared" si="7"/>
        <v>3078.8793724813495</v>
      </c>
      <c r="G24" s="29">
        <f t="shared" si="6"/>
        <v>1539.4396862406747</v>
      </c>
      <c r="H24" s="27"/>
      <c r="I24" s="7">
        <f t="shared" si="0"/>
        <v>76.684990734211141</v>
      </c>
      <c r="J24" s="7">
        <f t="shared" si="1"/>
        <v>38.34249536710557</v>
      </c>
      <c r="K24" s="6">
        <f t="shared" ref="K24:L43" si="8">VLOOKUP($C24,cfloorarea,K$1)</f>
        <v>40.149699999999903</v>
      </c>
      <c r="L24" s="6">
        <f t="shared" si="8"/>
        <v>40.149699999999903</v>
      </c>
      <c r="M24" s="45">
        <v>1</v>
      </c>
      <c r="N24" s="45">
        <v>1</v>
      </c>
      <c r="P24">
        <v>2</v>
      </c>
      <c r="R24">
        <v>1</v>
      </c>
      <c r="S24" s="6">
        <f t="shared" si="5"/>
        <v>1</v>
      </c>
    </row>
    <row r="25" spans="1:19" x14ac:dyDescent="0.2">
      <c r="B25">
        <v>130</v>
      </c>
      <c r="C25" s="3" t="s">
        <v>6</v>
      </c>
      <c r="D25" s="20" t="s">
        <v>12</v>
      </c>
      <c r="E25" s="22" t="s">
        <v>15</v>
      </c>
      <c r="F25" s="29">
        <f t="shared" si="7"/>
        <v>982.57873243811707</v>
      </c>
      <c r="G25" s="29">
        <f t="shared" si="6"/>
        <v>491.28936621905854</v>
      </c>
      <c r="H25" s="27"/>
      <c r="I25" s="7">
        <f t="shared" si="0"/>
        <v>55.077900673668822</v>
      </c>
      <c r="J25" s="7">
        <f t="shared" si="1"/>
        <v>27.538950336834411</v>
      </c>
      <c r="K25" s="6">
        <f t="shared" si="8"/>
        <v>17.8398</v>
      </c>
      <c r="L25" s="6">
        <f t="shared" si="8"/>
        <v>17.8398</v>
      </c>
      <c r="M25" s="45">
        <v>1</v>
      </c>
      <c r="N25" s="45">
        <v>1</v>
      </c>
      <c r="P25">
        <v>3</v>
      </c>
      <c r="R25">
        <v>1</v>
      </c>
      <c r="S25" s="6">
        <f t="shared" si="5"/>
        <v>1</v>
      </c>
    </row>
    <row r="26" spans="1:19" x14ac:dyDescent="0.2">
      <c r="B26">
        <v>96</v>
      </c>
      <c r="C26" s="3" t="s">
        <v>4</v>
      </c>
      <c r="D26" s="20" t="s">
        <v>12</v>
      </c>
      <c r="E26" s="22" t="s">
        <v>15</v>
      </c>
      <c r="F26" s="29">
        <f t="shared" si="7"/>
        <v>5159.9055012770996</v>
      </c>
      <c r="G26" s="29">
        <f t="shared" si="6"/>
        <v>2579.9527506385498</v>
      </c>
      <c r="H26" s="27"/>
      <c r="I26" s="7">
        <f t="shared" si="0"/>
        <v>50.961173997840035</v>
      </c>
      <c r="J26" s="7">
        <f t="shared" si="1"/>
        <v>25.480586998920018</v>
      </c>
      <c r="K26" s="6">
        <f t="shared" si="8"/>
        <v>101.2517</v>
      </c>
      <c r="L26" s="6">
        <f t="shared" si="8"/>
        <v>101.2517</v>
      </c>
      <c r="M26" s="45">
        <v>1</v>
      </c>
      <c r="N26" s="45">
        <v>1</v>
      </c>
      <c r="P26">
        <v>4</v>
      </c>
      <c r="R26">
        <v>1</v>
      </c>
      <c r="S26" s="6">
        <f t="shared" si="5"/>
        <v>1</v>
      </c>
    </row>
    <row r="27" spans="1:19" x14ac:dyDescent="0.2">
      <c r="B27">
        <v>114</v>
      </c>
      <c r="C27" s="3" t="s">
        <v>5</v>
      </c>
      <c r="D27" s="20" t="s">
        <v>12</v>
      </c>
      <c r="E27" s="22" t="s">
        <v>15</v>
      </c>
      <c r="F27" s="29">
        <f t="shared" si="7"/>
        <v>4588.46474585956</v>
      </c>
      <c r="G27" s="29">
        <f t="shared" si="6"/>
        <v>2294.23237292978</v>
      </c>
      <c r="H27" s="27"/>
      <c r="I27" s="7">
        <f t="shared" si="0"/>
        <v>73.06705222872651</v>
      </c>
      <c r="J27" s="7">
        <f t="shared" si="1"/>
        <v>36.533526114363255</v>
      </c>
      <c r="K27" s="6">
        <f t="shared" si="8"/>
        <v>62.797999999999902</v>
      </c>
      <c r="L27" s="6">
        <f t="shared" si="8"/>
        <v>62.797999999999902</v>
      </c>
      <c r="M27" s="45">
        <v>1</v>
      </c>
      <c r="N27" s="45">
        <v>1</v>
      </c>
      <c r="P27">
        <v>5</v>
      </c>
      <c r="R27">
        <v>1</v>
      </c>
      <c r="S27" s="6">
        <f t="shared" si="5"/>
        <v>1</v>
      </c>
    </row>
    <row r="28" spans="1:19" x14ac:dyDescent="0.2">
      <c r="B28">
        <v>64</v>
      </c>
      <c r="C28" s="3" t="s">
        <v>3</v>
      </c>
      <c r="D28" s="20" t="s">
        <v>12</v>
      </c>
      <c r="E28" s="22" t="s">
        <v>15</v>
      </c>
      <c r="F28" s="29">
        <f t="shared" si="7"/>
        <v>760.421785729573</v>
      </c>
      <c r="G28" s="29">
        <f t="shared" si="6"/>
        <v>380.2108928647865</v>
      </c>
      <c r="H28" s="27"/>
      <c r="I28" s="7">
        <f t="shared" si="0"/>
        <v>51.977947991385541</v>
      </c>
      <c r="J28" s="7">
        <f t="shared" si="1"/>
        <v>25.988973995692771</v>
      </c>
      <c r="K28" s="6">
        <f t="shared" si="8"/>
        <v>14.6297</v>
      </c>
      <c r="L28" s="6">
        <f t="shared" si="8"/>
        <v>14.6297</v>
      </c>
      <c r="M28" s="45">
        <v>1</v>
      </c>
      <c r="N28" s="45">
        <v>1</v>
      </c>
      <c r="P28">
        <v>6</v>
      </c>
      <c r="R28">
        <v>1</v>
      </c>
      <c r="S28" s="6">
        <f t="shared" si="5"/>
        <v>1</v>
      </c>
    </row>
    <row r="29" spans="1:19" x14ac:dyDescent="0.2">
      <c r="B29">
        <v>80</v>
      </c>
      <c r="C29" s="24" t="s">
        <v>24</v>
      </c>
      <c r="D29" s="20" t="s">
        <v>12</v>
      </c>
      <c r="E29" s="22" t="s">
        <v>15</v>
      </c>
      <c r="F29" s="29">
        <f t="shared" si="7"/>
        <v>13863.382810448798</v>
      </c>
      <c r="G29" s="29">
        <f t="shared" si="6"/>
        <v>6931.6914052243992</v>
      </c>
      <c r="H29" s="27"/>
      <c r="I29" s="7">
        <f t="shared" si="0"/>
        <v>44.917021990844617</v>
      </c>
      <c r="J29" s="7">
        <f t="shared" si="1"/>
        <v>22.458510995422309</v>
      </c>
      <c r="K29" s="6">
        <f t="shared" si="8"/>
        <v>308.64429999999902</v>
      </c>
      <c r="L29" s="6">
        <f t="shared" si="8"/>
        <v>308.64429999999902</v>
      </c>
      <c r="M29" s="45">
        <v>1</v>
      </c>
      <c r="N29" s="45">
        <v>1</v>
      </c>
      <c r="P29">
        <v>7</v>
      </c>
      <c r="R29">
        <v>1</v>
      </c>
      <c r="S29" s="6">
        <f t="shared" si="5"/>
        <v>1</v>
      </c>
    </row>
    <row r="30" spans="1:19" x14ac:dyDescent="0.2">
      <c r="B30">
        <v>162</v>
      </c>
      <c r="C30" s="3" t="s">
        <v>8</v>
      </c>
      <c r="D30" s="20" t="s">
        <v>12</v>
      </c>
      <c r="E30" s="22" t="s">
        <v>15</v>
      </c>
      <c r="F30" s="29">
        <f t="shared" si="7"/>
        <v>601.11300519580107</v>
      </c>
      <c r="G30" s="29">
        <f t="shared" si="6"/>
        <v>300.55650259790053</v>
      </c>
      <c r="H30" s="27"/>
      <c r="I30" s="7">
        <f t="shared" si="0"/>
        <v>47.918068746377394</v>
      </c>
      <c r="J30" s="7">
        <f t="shared" si="1"/>
        <v>23.959034373188697</v>
      </c>
      <c r="K30" s="6">
        <f t="shared" si="8"/>
        <v>12.5445999999999</v>
      </c>
      <c r="L30" s="6">
        <f t="shared" si="8"/>
        <v>12.5445999999999</v>
      </c>
      <c r="M30" s="45">
        <v>1</v>
      </c>
      <c r="N30" s="45">
        <v>1</v>
      </c>
      <c r="P30">
        <v>8</v>
      </c>
      <c r="R30">
        <v>1</v>
      </c>
      <c r="S30" s="6">
        <f t="shared" si="5"/>
        <v>1</v>
      </c>
    </row>
    <row r="31" spans="1:19" x14ac:dyDescent="0.2">
      <c r="B31">
        <v>30</v>
      </c>
      <c r="C31" s="3" t="s">
        <v>1</v>
      </c>
      <c r="D31" s="20" t="s">
        <v>12</v>
      </c>
      <c r="E31" s="22" t="s">
        <v>15</v>
      </c>
      <c r="F31" s="29">
        <f t="shared" si="7"/>
        <v>6182.7962883674099</v>
      </c>
      <c r="G31" s="29">
        <f t="shared" si="6"/>
        <v>3091.398144183705</v>
      </c>
      <c r="H31" s="27"/>
      <c r="I31" s="7">
        <f t="shared" si="0"/>
        <v>52.228385608780286</v>
      </c>
      <c r="J31" s="7">
        <f t="shared" si="1"/>
        <v>26.114192804390143</v>
      </c>
      <c r="K31" s="6">
        <f t="shared" si="8"/>
        <v>118.38</v>
      </c>
      <c r="L31" s="6">
        <f t="shared" si="8"/>
        <v>118.38</v>
      </c>
      <c r="M31" s="45">
        <v>1</v>
      </c>
      <c r="N31" s="45">
        <v>1</v>
      </c>
      <c r="P31">
        <v>9</v>
      </c>
      <c r="R31">
        <v>1</v>
      </c>
      <c r="S31" s="6">
        <f t="shared" si="5"/>
        <v>1</v>
      </c>
    </row>
    <row r="32" spans="1:19" x14ac:dyDescent="0.2">
      <c r="B32">
        <v>48</v>
      </c>
      <c r="C32" s="3" t="s">
        <v>2</v>
      </c>
      <c r="D32" s="20" t="s">
        <v>12</v>
      </c>
      <c r="E32" s="22" t="s">
        <v>15</v>
      </c>
      <c r="F32" s="29">
        <f t="shared" si="7"/>
        <v>1808.75155870458</v>
      </c>
      <c r="G32" s="29">
        <f t="shared" si="6"/>
        <v>904.37577935229001</v>
      </c>
      <c r="H32" s="27"/>
      <c r="I32" s="7">
        <f t="shared" si="0"/>
        <v>55.070821203947915</v>
      </c>
      <c r="J32" s="7">
        <f t="shared" si="1"/>
        <v>27.535410601973958</v>
      </c>
      <c r="K32" s="6">
        <f t="shared" si="8"/>
        <v>32.844099999999898</v>
      </c>
      <c r="L32" s="6">
        <f t="shared" si="8"/>
        <v>32.844099999999898</v>
      </c>
      <c r="M32" s="45">
        <v>1</v>
      </c>
      <c r="N32" s="45">
        <v>1</v>
      </c>
      <c r="P32">
        <v>10</v>
      </c>
      <c r="R32">
        <v>1</v>
      </c>
      <c r="S32" s="6">
        <f t="shared" si="5"/>
        <v>1</v>
      </c>
    </row>
    <row r="33" spans="2:19" x14ac:dyDescent="0.2">
      <c r="B33">
        <v>14</v>
      </c>
      <c r="C33" s="3" t="s">
        <v>0</v>
      </c>
      <c r="D33" s="20" t="s">
        <v>12</v>
      </c>
      <c r="E33" s="22" t="s">
        <v>15</v>
      </c>
      <c r="F33" s="29">
        <f t="shared" si="7"/>
        <v>2176.8316509081101</v>
      </c>
      <c r="G33" s="29">
        <f t="shared" si="6"/>
        <v>1088.415825454055</v>
      </c>
      <c r="H33" s="27"/>
      <c r="I33" s="7">
        <f t="shared" si="0"/>
        <v>48.2793019676527</v>
      </c>
      <c r="J33" s="7">
        <f t="shared" si="1"/>
        <v>24.13965098382635</v>
      </c>
      <c r="K33" s="6">
        <f t="shared" si="8"/>
        <v>45.088299999999897</v>
      </c>
      <c r="L33" s="6">
        <f t="shared" si="8"/>
        <v>45.088299999999897</v>
      </c>
      <c r="M33" s="45">
        <v>1</v>
      </c>
      <c r="N33" s="45">
        <v>1</v>
      </c>
      <c r="P33">
        <v>11</v>
      </c>
      <c r="R33">
        <v>1</v>
      </c>
      <c r="S33" s="6">
        <f t="shared" si="5"/>
        <v>1</v>
      </c>
    </row>
    <row r="34" spans="2:19" x14ac:dyDescent="0.2">
      <c r="B34">
        <v>147</v>
      </c>
      <c r="C34" s="3" t="s">
        <v>7</v>
      </c>
      <c r="D34" s="20" t="s">
        <v>16</v>
      </c>
      <c r="E34" s="22" t="s">
        <v>15</v>
      </c>
      <c r="F34" s="29">
        <f t="shared" si="7"/>
        <v>9514.7229941483092</v>
      </c>
      <c r="G34" s="29">
        <f t="shared" si="6"/>
        <v>4757.3614970741546</v>
      </c>
      <c r="H34" s="27"/>
      <c r="I34" s="7">
        <f t="shared" si="0"/>
        <v>236.98117281445022</v>
      </c>
      <c r="J34" s="7">
        <f t="shared" si="1"/>
        <v>118.49058640722511</v>
      </c>
      <c r="K34" s="6">
        <f t="shared" si="8"/>
        <v>40.149699999999903</v>
      </c>
      <c r="L34" s="6">
        <f t="shared" si="8"/>
        <v>40.149699999999903</v>
      </c>
      <c r="M34" s="45">
        <v>1</v>
      </c>
      <c r="N34" s="45">
        <v>1</v>
      </c>
      <c r="P34">
        <v>2</v>
      </c>
      <c r="R34">
        <v>1</v>
      </c>
      <c r="S34" s="6">
        <f t="shared" si="5"/>
        <v>1</v>
      </c>
    </row>
    <row r="35" spans="2:19" x14ac:dyDescent="0.2">
      <c r="B35">
        <v>131</v>
      </c>
      <c r="C35" s="3" t="s">
        <v>6</v>
      </c>
      <c r="D35" s="20" t="s">
        <v>16</v>
      </c>
      <c r="E35" s="22" t="s">
        <v>15</v>
      </c>
      <c r="F35" s="29">
        <f t="shared" si="7"/>
        <v>3231.9884790044698</v>
      </c>
      <c r="G35" s="29">
        <f t="shared" si="6"/>
        <v>1615.9942395022349</v>
      </c>
      <c r="H35" s="27"/>
      <c r="I35" s="7">
        <f t="shared" si="0"/>
        <v>181.16730451039081</v>
      </c>
      <c r="J35" s="7">
        <f t="shared" si="1"/>
        <v>90.583652255195403</v>
      </c>
      <c r="K35" s="6">
        <f t="shared" si="8"/>
        <v>17.8398</v>
      </c>
      <c r="L35" s="6">
        <f t="shared" si="8"/>
        <v>17.8398</v>
      </c>
      <c r="M35" s="45">
        <v>1</v>
      </c>
      <c r="N35" s="45">
        <v>1</v>
      </c>
      <c r="P35">
        <v>3</v>
      </c>
      <c r="R35">
        <v>1</v>
      </c>
      <c r="S35" s="6">
        <f t="shared" si="5"/>
        <v>1</v>
      </c>
    </row>
    <row r="36" spans="2:19" x14ac:dyDescent="0.2">
      <c r="B36">
        <v>97</v>
      </c>
      <c r="C36" s="3" t="s">
        <v>4</v>
      </c>
      <c r="D36" s="20" t="s">
        <v>16</v>
      </c>
      <c r="E36" s="22" t="s">
        <v>15</v>
      </c>
      <c r="F36" s="29">
        <f t="shared" si="7"/>
        <v>15440.579436717002</v>
      </c>
      <c r="G36" s="29">
        <f t="shared" si="6"/>
        <v>7720.289718358501</v>
      </c>
      <c r="H36" s="27"/>
      <c r="I36" s="7">
        <f t="shared" ref="I36:I99" si="9">VLOOKUP($D36,cint2019,$P36)*R36</f>
        <v>152.49698954898537</v>
      </c>
      <c r="J36" s="7">
        <f t="shared" ref="J36:J67" si="10">VLOOKUP($D36,cint2030,$P36)*S36</f>
        <v>76.248494774492684</v>
      </c>
      <c r="K36" s="6">
        <f t="shared" si="8"/>
        <v>101.2517</v>
      </c>
      <c r="L36" s="6">
        <f t="shared" si="8"/>
        <v>101.2517</v>
      </c>
      <c r="M36" s="45">
        <v>1</v>
      </c>
      <c r="N36" s="45">
        <v>1</v>
      </c>
      <c r="P36">
        <v>4</v>
      </c>
      <c r="R36">
        <v>1</v>
      </c>
      <c r="S36" s="6">
        <f t="shared" ref="S36:S53" si="11">commeff</f>
        <v>1</v>
      </c>
    </row>
    <row r="37" spans="2:19" x14ac:dyDescent="0.2">
      <c r="B37">
        <v>115</v>
      </c>
      <c r="C37" s="3" t="s">
        <v>5</v>
      </c>
      <c r="D37" s="20" t="s">
        <v>16</v>
      </c>
      <c r="E37" s="22" t="s">
        <v>15</v>
      </c>
      <c r="F37" s="29">
        <f t="shared" si="7"/>
        <v>17511.228583995202</v>
      </c>
      <c r="G37" s="29">
        <f t="shared" si="6"/>
        <v>8755.614291997601</v>
      </c>
      <c r="H37" s="27"/>
      <c r="I37" s="7">
        <f t="shared" si="9"/>
        <v>278.85010006680511</v>
      </c>
      <c r="J37" s="7">
        <f t="shared" si="10"/>
        <v>139.42505003340256</v>
      </c>
      <c r="K37" s="6">
        <f t="shared" si="8"/>
        <v>62.797999999999902</v>
      </c>
      <c r="L37" s="6">
        <f t="shared" si="8"/>
        <v>62.797999999999902</v>
      </c>
      <c r="M37" s="45">
        <v>1</v>
      </c>
      <c r="N37" s="45">
        <v>1</v>
      </c>
      <c r="P37">
        <v>5</v>
      </c>
      <c r="R37">
        <v>1</v>
      </c>
      <c r="S37" s="6">
        <f t="shared" si="11"/>
        <v>1</v>
      </c>
    </row>
    <row r="38" spans="2:19" x14ac:dyDescent="0.2">
      <c r="B38">
        <v>65</v>
      </c>
      <c r="C38" s="3" t="s">
        <v>3</v>
      </c>
      <c r="D38" s="20" t="s">
        <v>16</v>
      </c>
      <c r="E38" s="22" t="s">
        <v>15</v>
      </c>
      <c r="F38" s="29">
        <f t="shared" si="7"/>
        <v>2719.4049030175402</v>
      </c>
      <c r="G38" s="29">
        <f t="shared" si="6"/>
        <v>1359.7024515087701</v>
      </c>
      <c r="H38" s="27"/>
      <c r="I38" s="7">
        <f t="shared" si="9"/>
        <v>185.88247899940123</v>
      </c>
      <c r="J38" s="7">
        <f t="shared" si="10"/>
        <v>92.941239499700615</v>
      </c>
      <c r="K38" s="6">
        <f t="shared" si="8"/>
        <v>14.6297</v>
      </c>
      <c r="L38" s="6">
        <f t="shared" si="8"/>
        <v>14.6297</v>
      </c>
      <c r="M38" s="45">
        <v>1</v>
      </c>
      <c r="N38" s="45">
        <v>1</v>
      </c>
      <c r="P38">
        <v>6</v>
      </c>
      <c r="R38">
        <v>1</v>
      </c>
      <c r="S38" s="6">
        <f t="shared" si="11"/>
        <v>1</v>
      </c>
    </row>
    <row r="39" spans="2:19" x14ac:dyDescent="0.2">
      <c r="B39">
        <v>81</v>
      </c>
      <c r="C39" s="24" t="s">
        <v>24</v>
      </c>
      <c r="D39" s="20" t="s">
        <v>16</v>
      </c>
      <c r="E39" s="22" t="s">
        <v>15</v>
      </c>
      <c r="F39" s="29">
        <f t="shared" si="7"/>
        <v>52115.828450603898</v>
      </c>
      <c r="G39" s="29">
        <f t="shared" si="6"/>
        <v>26057.914225301949</v>
      </c>
      <c r="H39" s="27"/>
      <c r="I39" s="7">
        <f t="shared" si="9"/>
        <v>168.85401237153599</v>
      </c>
      <c r="J39" s="7">
        <f t="shared" si="10"/>
        <v>84.427006185767993</v>
      </c>
      <c r="K39" s="6">
        <f t="shared" si="8"/>
        <v>308.64429999999902</v>
      </c>
      <c r="L39" s="6">
        <f t="shared" si="8"/>
        <v>308.64429999999902</v>
      </c>
      <c r="M39" s="45">
        <v>1</v>
      </c>
      <c r="N39" s="45">
        <v>1</v>
      </c>
      <c r="P39">
        <v>7</v>
      </c>
      <c r="R39">
        <v>1</v>
      </c>
      <c r="S39" s="6">
        <f t="shared" si="11"/>
        <v>1</v>
      </c>
    </row>
    <row r="40" spans="2:19" x14ac:dyDescent="0.2">
      <c r="B40">
        <v>163</v>
      </c>
      <c r="C40" s="3" t="s">
        <v>8</v>
      </c>
      <c r="D40" s="20" t="s">
        <v>16</v>
      </c>
      <c r="E40" s="22" t="s">
        <v>15</v>
      </c>
      <c r="F40" s="29">
        <f t="shared" si="7"/>
        <v>1927.95556796196</v>
      </c>
      <c r="G40" s="29">
        <f t="shared" si="6"/>
        <v>963.97778398098001</v>
      </c>
      <c r="H40" s="27"/>
      <c r="I40" s="7">
        <f t="shared" si="9"/>
        <v>153.68808634487951</v>
      </c>
      <c r="J40" s="7">
        <f t="shared" si="10"/>
        <v>76.844043172439754</v>
      </c>
      <c r="K40" s="6">
        <f t="shared" si="8"/>
        <v>12.5445999999999</v>
      </c>
      <c r="L40" s="6">
        <f t="shared" si="8"/>
        <v>12.5445999999999</v>
      </c>
      <c r="M40" s="45">
        <v>1</v>
      </c>
      <c r="N40" s="45">
        <v>1</v>
      </c>
      <c r="P40">
        <v>8</v>
      </c>
      <c r="R40">
        <v>1</v>
      </c>
      <c r="S40" s="6">
        <f t="shared" si="11"/>
        <v>1</v>
      </c>
    </row>
    <row r="41" spans="2:19" x14ac:dyDescent="0.2">
      <c r="B41">
        <v>31</v>
      </c>
      <c r="C41" s="3" t="s">
        <v>1</v>
      </c>
      <c r="D41" s="20" t="s">
        <v>16</v>
      </c>
      <c r="E41" s="22" t="s">
        <v>15</v>
      </c>
      <c r="F41" s="29">
        <f t="shared" si="7"/>
        <v>24941.7554457191</v>
      </c>
      <c r="G41" s="29">
        <f t="shared" si="6"/>
        <v>12470.87772285955</v>
      </c>
      <c r="H41" s="27"/>
      <c r="I41" s="7">
        <f t="shared" si="9"/>
        <v>210.69230820847358</v>
      </c>
      <c r="J41" s="7">
        <f t="shared" si="10"/>
        <v>105.34615410423679</v>
      </c>
      <c r="K41" s="6">
        <f t="shared" si="8"/>
        <v>118.38</v>
      </c>
      <c r="L41" s="6">
        <f t="shared" si="8"/>
        <v>118.38</v>
      </c>
      <c r="M41" s="45">
        <v>1</v>
      </c>
      <c r="N41" s="45">
        <v>1</v>
      </c>
      <c r="P41">
        <v>9</v>
      </c>
      <c r="R41">
        <v>1</v>
      </c>
      <c r="S41" s="6">
        <f t="shared" si="11"/>
        <v>1</v>
      </c>
    </row>
    <row r="42" spans="2:19" x14ac:dyDescent="0.2">
      <c r="B42">
        <v>49</v>
      </c>
      <c r="C42" s="3" t="s">
        <v>2</v>
      </c>
      <c r="D42" s="20" t="s">
        <v>16</v>
      </c>
      <c r="E42" s="22" t="s">
        <v>15</v>
      </c>
      <c r="F42" s="29">
        <f t="shared" si="7"/>
        <v>4757.7094305318788</v>
      </c>
      <c r="G42" s="29">
        <f t="shared" si="6"/>
        <v>2378.8547152659394</v>
      </c>
      <c r="H42" s="27"/>
      <c r="I42" s="7">
        <f t="shared" si="9"/>
        <v>144.85735430509266</v>
      </c>
      <c r="J42" s="7">
        <f t="shared" si="10"/>
        <v>72.428677152546328</v>
      </c>
      <c r="K42" s="6">
        <f t="shared" si="8"/>
        <v>32.844099999999898</v>
      </c>
      <c r="L42" s="6">
        <f t="shared" si="8"/>
        <v>32.844099999999898</v>
      </c>
      <c r="M42" s="45">
        <v>1</v>
      </c>
      <c r="N42" s="45">
        <v>1</v>
      </c>
      <c r="P42">
        <v>10</v>
      </c>
      <c r="R42">
        <v>1</v>
      </c>
      <c r="S42" s="6">
        <f t="shared" si="11"/>
        <v>1</v>
      </c>
    </row>
    <row r="43" spans="2:19" x14ac:dyDescent="0.2">
      <c r="B43">
        <v>15</v>
      </c>
      <c r="C43" s="3" t="s">
        <v>0</v>
      </c>
      <c r="D43" s="20" t="s">
        <v>16</v>
      </c>
      <c r="E43" s="22" t="s">
        <v>15</v>
      </c>
      <c r="F43" s="29">
        <f t="shared" si="7"/>
        <v>6772.1589066671895</v>
      </c>
      <c r="G43" s="29">
        <f t="shared" si="6"/>
        <v>3386.0794533335948</v>
      </c>
      <c r="H43" s="27"/>
      <c r="I43" s="7">
        <f t="shared" si="9"/>
        <v>150.19769888567998</v>
      </c>
      <c r="J43" s="7">
        <f t="shared" si="10"/>
        <v>75.098849442839992</v>
      </c>
      <c r="K43" s="6">
        <f t="shared" si="8"/>
        <v>45.088299999999897</v>
      </c>
      <c r="L43" s="6">
        <f t="shared" si="8"/>
        <v>45.088299999999897</v>
      </c>
      <c r="M43" s="45">
        <v>1</v>
      </c>
      <c r="N43" s="45">
        <v>1</v>
      </c>
      <c r="P43">
        <v>11</v>
      </c>
      <c r="R43">
        <v>1</v>
      </c>
      <c r="S43" s="6">
        <f t="shared" si="11"/>
        <v>1</v>
      </c>
    </row>
    <row r="44" spans="2:19" x14ac:dyDescent="0.2">
      <c r="B44">
        <v>148</v>
      </c>
      <c r="C44" s="3" t="s">
        <v>7</v>
      </c>
      <c r="D44" s="20" t="s">
        <v>11</v>
      </c>
      <c r="E44" s="22" t="s">
        <v>15</v>
      </c>
      <c r="F44" s="29">
        <f t="shared" si="7"/>
        <v>3822.9093384133803</v>
      </c>
      <c r="G44" s="29">
        <f t="shared" si="6"/>
        <v>3822.9093384133803</v>
      </c>
      <c r="H44" s="27"/>
      <c r="I44" s="7">
        <f t="shared" si="9"/>
        <v>95.216386135223658</v>
      </c>
      <c r="J44" s="7">
        <f t="shared" si="10"/>
        <v>95.216386135223658</v>
      </c>
      <c r="K44" s="6">
        <f t="shared" ref="K44:L63" si="12">VLOOKUP($C44,cfloorarea,K$1)</f>
        <v>40.149699999999903</v>
      </c>
      <c r="L44" s="6">
        <f t="shared" si="12"/>
        <v>40.149699999999903</v>
      </c>
      <c r="M44" s="45">
        <v>1</v>
      </c>
      <c r="N44" s="45">
        <v>1</v>
      </c>
      <c r="P44">
        <v>2</v>
      </c>
      <c r="R44">
        <v>1</v>
      </c>
      <c r="S44" s="6">
        <f t="shared" si="11"/>
        <v>1</v>
      </c>
    </row>
    <row r="45" spans="2:19" x14ac:dyDescent="0.2">
      <c r="B45">
        <v>132</v>
      </c>
      <c r="C45" s="3" t="s">
        <v>6</v>
      </c>
      <c r="D45" s="20" t="s">
        <v>11</v>
      </c>
      <c r="E45" s="22" t="s">
        <v>15</v>
      </c>
      <c r="F45" s="29">
        <f t="shared" si="7"/>
        <v>1120.5301402822502</v>
      </c>
      <c r="G45" s="29">
        <f t="shared" si="6"/>
        <v>1120.5301402822502</v>
      </c>
      <c r="H45" s="27"/>
      <c r="I45" s="7">
        <f t="shared" si="9"/>
        <v>62.810689597543146</v>
      </c>
      <c r="J45" s="7">
        <f t="shared" si="10"/>
        <v>62.810689597543146</v>
      </c>
      <c r="K45" s="6">
        <f t="shared" si="12"/>
        <v>17.8398</v>
      </c>
      <c r="L45" s="6">
        <f t="shared" si="12"/>
        <v>17.8398</v>
      </c>
      <c r="M45" s="45">
        <v>1</v>
      </c>
      <c r="N45" s="45">
        <v>1</v>
      </c>
      <c r="P45">
        <v>3</v>
      </c>
      <c r="R45">
        <v>1</v>
      </c>
      <c r="S45" s="6">
        <f t="shared" si="11"/>
        <v>1</v>
      </c>
    </row>
    <row r="46" spans="2:19" x14ac:dyDescent="0.2">
      <c r="B46">
        <v>98</v>
      </c>
      <c r="C46" s="3" t="s">
        <v>4</v>
      </c>
      <c r="D46" s="20" t="s">
        <v>11</v>
      </c>
      <c r="E46" s="22" t="s">
        <v>15</v>
      </c>
      <c r="F46" s="29">
        <f t="shared" si="7"/>
        <v>6281.8278450035396</v>
      </c>
      <c r="G46" s="29">
        <f t="shared" si="6"/>
        <v>6281.8278450035396</v>
      </c>
      <c r="H46" s="27"/>
      <c r="I46" s="7">
        <f t="shared" si="9"/>
        <v>62.04170246033933</v>
      </c>
      <c r="J46" s="7">
        <f t="shared" si="10"/>
        <v>62.04170246033933</v>
      </c>
      <c r="K46" s="6">
        <f t="shared" si="12"/>
        <v>101.2517</v>
      </c>
      <c r="L46" s="6">
        <f t="shared" si="12"/>
        <v>101.2517</v>
      </c>
      <c r="M46" s="45">
        <v>1</v>
      </c>
      <c r="N46" s="45">
        <v>1</v>
      </c>
      <c r="P46">
        <v>4</v>
      </c>
      <c r="R46">
        <v>1</v>
      </c>
      <c r="S46" s="6">
        <f t="shared" si="11"/>
        <v>1</v>
      </c>
    </row>
    <row r="47" spans="2:19" x14ac:dyDescent="0.2">
      <c r="B47">
        <v>116</v>
      </c>
      <c r="C47" s="3" t="s">
        <v>5</v>
      </c>
      <c r="D47" s="20" t="s">
        <v>11</v>
      </c>
      <c r="E47" s="22" t="s">
        <v>15</v>
      </c>
      <c r="F47" s="29">
        <f t="shared" si="7"/>
        <v>6451.4707520033298</v>
      </c>
      <c r="G47" s="29">
        <f t="shared" si="6"/>
        <v>6451.4707520033298</v>
      </c>
      <c r="H47" s="27"/>
      <c r="I47" s="7">
        <f t="shared" si="9"/>
        <v>102.73369776112838</v>
      </c>
      <c r="J47" s="7">
        <f t="shared" si="10"/>
        <v>102.73369776112838</v>
      </c>
      <c r="K47" s="6">
        <f t="shared" si="12"/>
        <v>62.797999999999902</v>
      </c>
      <c r="L47" s="6">
        <f t="shared" si="12"/>
        <v>62.797999999999902</v>
      </c>
      <c r="M47" s="45">
        <v>1</v>
      </c>
      <c r="N47" s="45">
        <v>1</v>
      </c>
      <c r="P47">
        <v>5</v>
      </c>
      <c r="R47">
        <v>1</v>
      </c>
      <c r="S47" s="6">
        <f t="shared" si="11"/>
        <v>1</v>
      </c>
    </row>
    <row r="48" spans="2:19" x14ac:dyDescent="0.2">
      <c r="B48">
        <v>66</v>
      </c>
      <c r="C48" s="3" t="s">
        <v>3</v>
      </c>
      <c r="D48" s="20" t="s">
        <v>11</v>
      </c>
      <c r="E48" s="22" t="s">
        <v>15</v>
      </c>
      <c r="F48" s="29">
        <f t="shared" si="7"/>
        <v>1110.63373068853</v>
      </c>
      <c r="G48" s="29">
        <f t="shared" si="6"/>
        <v>1110.63373068853</v>
      </c>
      <c r="H48" s="27"/>
      <c r="I48" s="7">
        <f t="shared" si="9"/>
        <v>75.916370854394145</v>
      </c>
      <c r="J48" s="7">
        <f t="shared" si="10"/>
        <v>75.916370854394145</v>
      </c>
      <c r="K48" s="6">
        <f t="shared" si="12"/>
        <v>14.6297</v>
      </c>
      <c r="L48" s="6">
        <f t="shared" si="12"/>
        <v>14.6297</v>
      </c>
      <c r="M48" s="45">
        <v>1</v>
      </c>
      <c r="N48" s="45">
        <v>1</v>
      </c>
      <c r="P48">
        <v>6</v>
      </c>
      <c r="R48">
        <v>1</v>
      </c>
      <c r="S48" s="6">
        <f t="shared" si="11"/>
        <v>1</v>
      </c>
    </row>
    <row r="49" spans="1:23" x14ac:dyDescent="0.2">
      <c r="B49">
        <v>82</v>
      </c>
      <c r="C49" s="24" t="s">
        <v>24</v>
      </c>
      <c r="D49" s="20" t="s">
        <v>11</v>
      </c>
      <c r="E49" s="22" t="s">
        <v>15</v>
      </c>
      <c r="F49" s="29">
        <f t="shared" si="7"/>
        <v>18631.8840925613</v>
      </c>
      <c r="G49" s="29">
        <f t="shared" si="6"/>
        <v>18631.8840925613</v>
      </c>
      <c r="H49" s="27"/>
      <c r="I49" s="7">
        <f t="shared" si="9"/>
        <v>60.366849776786289</v>
      </c>
      <c r="J49" s="7">
        <f t="shared" si="10"/>
        <v>60.366849776786289</v>
      </c>
      <c r="K49" s="6">
        <f t="shared" si="12"/>
        <v>308.64429999999902</v>
      </c>
      <c r="L49" s="6">
        <f t="shared" si="12"/>
        <v>308.64429999999902</v>
      </c>
      <c r="M49" s="45">
        <v>1</v>
      </c>
      <c r="N49" s="45">
        <v>1</v>
      </c>
      <c r="P49">
        <v>7</v>
      </c>
      <c r="R49">
        <v>1</v>
      </c>
      <c r="S49" s="6">
        <f t="shared" si="11"/>
        <v>1</v>
      </c>
    </row>
    <row r="50" spans="1:23" x14ac:dyDescent="0.2">
      <c r="B50">
        <v>164</v>
      </c>
      <c r="C50" s="3" t="s">
        <v>8</v>
      </c>
      <c r="D50" s="20" t="s">
        <v>11</v>
      </c>
      <c r="E50" s="22" t="s">
        <v>15</v>
      </c>
      <c r="F50" s="29">
        <f t="shared" si="7"/>
        <v>689.38184907957304</v>
      </c>
      <c r="G50" s="29">
        <f t="shared" si="6"/>
        <v>689.38184907957304</v>
      </c>
      <c r="H50" s="27"/>
      <c r="I50" s="7">
        <f t="shared" si="9"/>
        <v>54.954470376064485</v>
      </c>
      <c r="J50" s="7">
        <f t="shared" si="10"/>
        <v>54.954470376064485</v>
      </c>
      <c r="K50" s="6">
        <f t="shared" si="12"/>
        <v>12.5445999999999</v>
      </c>
      <c r="L50" s="6">
        <f t="shared" si="12"/>
        <v>12.5445999999999</v>
      </c>
      <c r="M50" s="45">
        <v>1</v>
      </c>
      <c r="N50" s="45">
        <v>1</v>
      </c>
      <c r="P50">
        <v>8</v>
      </c>
      <c r="R50">
        <v>1</v>
      </c>
      <c r="S50" s="6">
        <f t="shared" si="11"/>
        <v>1</v>
      </c>
    </row>
    <row r="51" spans="1:23" x14ac:dyDescent="0.2">
      <c r="B51">
        <v>32</v>
      </c>
      <c r="C51" s="3" t="s">
        <v>1</v>
      </c>
      <c r="D51" s="20" t="s">
        <v>11</v>
      </c>
      <c r="E51" s="22" t="s">
        <v>15</v>
      </c>
      <c r="F51" s="29">
        <f t="shared" si="7"/>
        <v>8218.0538143326194</v>
      </c>
      <c r="G51" s="29">
        <f t="shared" si="6"/>
        <v>8218.0538143326194</v>
      </c>
      <c r="H51" s="27"/>
      <c r="I51" s="7">
        <f t="shared" si="9"/>
        <v>69.420964811054404</v>
      </c>
      <c r="J51" s="7">
        <f t="shared" si="10"/>
        <v>69.420964811054404</v>
      </c>
      <c r="K51" s="6">
        <f t="shared" si="12"/>
        <v>118.38</v>
      </c>
      <c r="L51" s="6">
        <f t="shared" si="12"/>
        <v>118.38</v>
      </c>
      <c r="M51" s="45">
        <v>1</v>
      </c>
      <c r="N51" s="45">
        <v>1</v>
      </c>
      <c r="P51">
        <v>9</v>
      </c>
      <c r="R51">
        <v>1</v>
      </c>
      <c r="S51" s="6">
        <f t="shared" si="11"/>
        <v>1</v>
      </c>
    </row>
    <row r="52" spans="1:23" x14ac:dyDescent="0.2">
      <c r="B52">
        <v>50</v>
      </c>
      <c r="C52" s="3" t="s">
        <v>2</v>
      </c>
      <c r="D52" s="20" t="s">
        <v>11</v>
      </c>
      <c r="E52" s="22" t="s">
        <v>15</v>
      </c>
      <c r="F52" s="29">
        <f t="shared" si="7"/>
        <v>1528.23464060067</v>
      </c>
      <c r="G52" s="29">
        <f t="shared" si="6"/>
        <v>1528.23464060067</v>
      </c>
      <c r="H52" s="27"/>
      <c r="I52" s="7">
        <f t="shared" si="9"/>
        <v>46.529959432612699</v>
      </c>
      <c r="J52" s="7">
        <f t="shared" si="10"/>
        <v>46.529959432612699</v>
      </c>
      <c r="K52" s="6">
        <f t="shared" si="12"/>
        <v>32.844099999999898</v>
      </c>
      <c r="L52" s="6">
        <f t="shared" si="12"/>
        <v>32.844099999999898</v>
      </c>
      <c r="M52" s="45">
        <v>1</v>
      </c>
      <c r="N52" s="45">
        <v>1</v>
      </c>
      <c r="P52">
        <v>10</v>
      </c>
      <c r="R52">
        <v>1</v>
      </c>
      <c r="S52" s="6">
        <f t="shared" si="11"/>
        <v>1</v>
      </c>
    </row>
    <row r="53" spans="1:23" x14ac:dyDescent="0.2">
      <c r="B53">
        <v>16</v>
      </c>
      <c r="C53" s="3" t="s">
        <v>0</v>
      </c>
      <c r="D53" s="20" t="s">
        <v>11</v>
      </c>
      <c r="E53" s="22" t="s">
        <v>15</v>
      </c>
      <c r="F53" s="29">
        <f t="shared" si="7"/>
        <v>2760.8716355402998</v>
      </c>
      <c r="G53" s="29">
        <f t="shared" si="6"/>
        <v>2760.8716355402998</v>
      </c>
      <c r="H53" s="27"/>
      <c r="I53" s="7">
        <f t="shared" si="9"/>
        <v>61.232551139437639</v>
      </c>
      <c r="J53" s="7">
        <f t="shared" si="10"/>
        <v>61.232551139437639</v>
      </c>
      <c r="K53" s="6">
        <f t="shared" si="12"/>
        <v>45.088299999999897</v>
      </c>
      <c r="L53" s="6">
        <f t="shared" si="12"/>
        <v>45.088299999999897</v>
      </c>
      <c r="M53" s="45">
        <v>1</v>
      </c>
      <c r="N53" s="45">
        <v>1</v>
      </c>
      <c r="P53">
        <v>11</v>
      </c>
      <c r="R53">
        <v>1</v>
      </c>
      <c r="S53" s="6">
        <f t="shared" si="11"/>
        <v>1</v>
      </c>
    </row>
    <row r="54" spans="1:23" x14ac:dyDescent="0.2">
      <c r="A54">
        <v>2</v>
      </c>
      <c r="B54">
        <v>133</v>
      </c>
      <c r="C54" s="3" t="s">
        <v>7</v>
      </c>
      <c r="D54" s="21" t="s">
        <v>10</v>
      </c>
      <c r="E54" s="2" t="s">
        <v>15</v>
      </c>
      <c r="F54" s="29">
        <f t="shared" si="7"/>
        <v>3866.8430920331621</v>
      </c>
      <c r="G54" s="29">
        <f>J54*L54*N54</f>
        <v>5115.3981102461803</v>
      </c>
      <c r="H54" s="28"/>
      <c r="I54" s="7">
        <f t="shared" si="9"/>
        <v>1109.27474485579</v>
      </c>
      <c r="J54" s="7">
        <f t="shared" si="10"/>
        <v>212.34687972953691</v>
      </c>
      <c r="K54" s="6">
        <f t="shared" si="12"/>
        <v>40.149699999999903</v>
      </c>
      <c r="L54" s="6">
        <f t="shared" si="12"/>
        <v>40.149699999999903</v>
      </c>
      <c r="M54" s="41">
        <f t="shared" ref="M54:M85" si="13">HLOOKUP($C54,heatsh19,$A54)</f>
        <v>8.6823066329520679E-2</v>
      </c>
      <c r="N54" s="41">
        <f t="shared" ref="N54:N85" si="14">HLOOKUP($C54,heatshint,$A54)</f>
        <v>0.6</v>
      </c>
      <c r="P54">
        <v>2</v>
      </c>
      <c r="R54">
        <v>1</v>
      </c>
      <c r="S54" s="129">
        <f>commhp</f>
        <v>0.2857142857142857</v>
      </c>
      <c r="U54" s="35" t="str">
        <f t="shared" ref="U54:U85" si="15">E54</f>
        <v>Electricity</v>
      </c>
      <c r="V54" s="43">
        <f>K54*M54</f>
        <v>3.485920066210348</v>
      </c>
      <c r="W54" s="43">
        <f>L54*N54</f>
        <v>24.089819999999943</v>
      </c>
    </row>
    <row r="55" spans="1:23" x14ac:dyDescent="0.2">
      <c r="A55">
        <v>3</v>
      </c>
      <c r="B55">
        <v>136</v>
      </c>
      <c r="C55" s="3" t="s">
        <v>7</v>
      </c>
      <c r="D55" s="21" t="s">
        <v>10</v>
      </c>
      <c r="E55" s="2" t="s">
        <v>18</v>
      </c>
      <c r="F55" s="29">
        <f t="shared" si="7"/>
        <v>10.669545509647008</v>
      </c>
      <c r="G55" s="29">
        <f t="shared" si="6"/>
        <v>3.1321296472804701</v>
      </c>
      <c r="H55" s="28"/>
      <c r="I55" s="7">
        <f t="shared" si="9"/>
        <v>1109.27474485579</v>
      </c>
      <c r="J55" s="7">
        <f t="shared" si="10"/>
        <v>743.21407905337924</v>
      </c>
      <c r="K55" s="6">
        <f t="shared" si="12"/>
        <v>40.149699999999903</v>
      </c>
      <c r="L55" s="6">
        <f t="shared" si="12"/>
        <v>40.149699999999903</v>
      </c>
      <c r="M55" s="41">
        <f t="shared" si="13"/>
        <v>2.3956561863047976E-4</v>
      </c>
      <c r="N55" s="41">
        <f t="shared" si="14"/>
        <v>1.049647553113957E-4</v>
      </c>
      <c r="P55">
        <v>2</v>
      </c>
      <c r="R55">
        <v>1</v>
      </c>
      <c r="S55" s="6">
        <f>commeff</f>
        <v>1</v>
      </c>
      <c r="U55" s="35" t="str">
        <f t="shared" si="15"/>
        <v>Heavy Fuel Oil</v>
      </c>
      <c r="V55" s="43">
        <f t="shared" ref="V55:V118" si="16">K55*M55</f>
        <v>9.6184877183281507E-3</v>
      </c>
      <c r="W55" s="43">
        <f t="shared" ref="W55:W118" si="17">L55*N55</f>
        <v>4.2143034363259337E-3</v>
      </c>
    </row>
    <row r="56" spans="1:23" x14ac:dyDescent="0.2">
      <c r="A56">
        <v>4</v>
      </c>
      <c r="B56">
        <v>135</v>
      </c>
      <c r="C56" s="3" t="s">
        <v>7</v>
      </c>
      <c r="D56" s="21" t="s">
        <v>10</v>
      </c>
      <c r="E56" s="2" t="s">
        <v>17</v>
      </c>
      <c r="F56" s="29">
        <f t="shared" si="7"/>
        <v>2363.2042404339813</v>
      </c>
      <c r="G56" s="29">
        <f t="shared" si="6"/>
        <v>693.73733467369425</v>
      </c>
      <c r="H56" s="28"/>
      <c r="I56" s="7">
        <f t="shared" si="9"/>
        <v>1109.27474485579</v>
      </c>
      <c r="J56" s="7">
        <f t="shared" si="10"/>
        <v>743.21407905337924</v>
      </c>
      <c r="K56" s="6">
        <f t="shared" si="12"/>
        <v>40.149699999999903</v>
      </c>
      <c r="L56" s="6">
        <f t="shared" si="12"/>
        <v>40.149699999999903</v>
      </c>
      <c r="M56" s="41">
        <f t="shared" si="13"/>
        <v>5.3061537185239496E-2</v>
      </c>
      <c r="N56" s="41">
        <f t="shared" si="14"/>
        <v>2.3248708637469619E-2</v>
      </c>
      <c r="P56">
        <v>2</v>
      </c>
      <c r="R56">
        <v>1</v>
      </c>
      <c r="S56" s="6">
        <f>commeff</f>
        <v>1</v>
      </c>
      <c r="U56" s="35" t="str">
        <f t="shared" si="15"/>
        <v>Light Fuel Oil and Kerosene</v>
      </c>
      <c r="V56" s="43">
        <f t="shared" si="16"/>
        <v>2.1304047995262052</v>
      </c>
      <c r="W56" s="43">
        <f t="shared" si="17"/>
        <v>0.93342867718181166</v>
      </c>
    </row>
    <row r="57" spans="1:23" x14ac:dyDescent="0.2">
      <c r="A57">
        <v>5</v>
      </c>
      <c r="B57">
        <v>134</v>
      </c>
      <c r="C57" s="3" t="s">
        <v>7</v>
      </c>
      <c r="D57" s="21" t="s">
        <v>10</v>
      </c>
      <c r="E57" s="2" t="s">
        <v>9</v>
      </c>
      <c r="F57" s="29">
        <f t="shared" si="7"/>
        <v>35868.094427881922</v>
      </c>
      <c r="G57" s="29">
        <f t="shared" si="6"/>
        <v>10529.363396730212</v>
      </c>
      <c r="H57" s="28"/>
      <c r="I57" s="7">
        <f t="shared" si="9"/>
        <v>1109.27474485579</v>
      </c>
      <c r="J57" s="7">
        <f t="shared" si="10"/>
        <v>743.21407905337924</v>
      </c>
      <c r="K57" s="6">
        <f t="shared" si="12"/>
        <v>40.149699999999903</v>
      </c>
      <c r="L57" s="6">
        <f t="shared" si="12"/>
        <v>40.149699999999903</v>
      </c>
      <c r="M57" s="41">
        <f t="shared" si="13"/>
        <v>0.80535410087924919</v>
      </c>
      <c r="N57" s="41">
        <f t="shared" si="14"/>
        <v>0.35286280485936267</v>
      </c>
      <c r="P57">
        <v>2</v>
      </c>
      <c r="R57">
        <v>1</v>
      </c>
      <c r="S57" s="6">
        <f>commeff</f>
        <v>1</v>
      </c>
      <c r="U57" s="35" t="str">
        <f t="shared" si="15"/>
        <v>Natural Gas</v>
      </c>
      <c r="V57" s="43">
        <f t="shared" si="16"/>
        <v>32.33472554407151</v>
      </c>
      <c r="W57" s="43">
        <f t="shared" si="17"/>
        <v>14.167335756261918</v>
      </c>
    </row>
    <row r="58" spans="1:23" x14ac:dyDescent="0.2">
      <c r="A58">
        <v>6</v>
      </c>
      <c r="B58">
        <v>137</v>
      </c>
      <c r="C58" s="3" t="s">
        <v>7</v>
      </c>
      <c r="D58" s="21" t="s">
        <v>10</v>
      </c>
      <c r="E58" s="9" t="s">
        <v>21</v>
      </c>
      <c r="F58" s="29">
        <f t="shared" si="7"/>
        <v>2428.2369176776915</v>
      </c>
      <c r="G58" s="29">
        <f t="shared" si="6"/>
        <v>712.82819250384978</v>
      </c>
      <c r="H58" s="26"/>
      <c r="I58" s="7">
        <f t="shared" si="9"/>
        <v>1109.27474485579</v>
      </c>
      <c r="J58" s="7">
        <f t="shared" si="10"/>
        <v>743.21407905337924</v>
      </c>
      <c r="K58" s="6">
        <f t="shared" si="12"/>
        <v>40.149699999999903</v>
      </c>
      <c r="L58" s="6">
        <f t="shared" si="12"/>
        <v>40.149699999999903</v>
      </c>
      <c r="M58" s="41">
        <f t="shared" si="13"/>
        <v>5.4521729987360185E-2</v>
      </c>
      <c r="N58" s="41">
        <f t="shared" si="14"/>
        <v>2.3888486503167744E-2</v>
      </c>
      <c r="P58">
        <v>2</v>
      </c>
      <c r="R58">
        <v>1</v>
      </c>
      <c r="S58" s="6">
        <f>commeff</f>
        <v>1</v>
      </c>
      <c r="U58" s="35" t="str">
        <f t="shared" si="15"/>
        <v>Other</v>
      </c>
      <c r="V58" s="43">
        <f t="shared" si="16"/>
        <v>2.1890311024735101</v>
      </c>
      <c r="W58" s="43">
        <f t="shared" si="17"/>
        <v>0.95911556655623165</v>
      </c>
    </row>
    <row r="59" spans="1:23" x14ac:dyDescent="0.2">
      <c r="A59">
        <v>2</v>
      </c>
      <c r="B59">
        <v>117</v>
      </c>
      <c r="C59" s="3" t="s">
        <v>6</v>
      </c>
      <c r="D59" s="21" t="s">
        <v>10</v>
      </c>
      <c r="E59" s="2" t="s">
        <v>15</v>
      </c>
      <c r="F59" s="29">
        <f t="shared" si="7"/>
        <v>1395.5496415549856</v>
      </c>
      <c r="G59" s="29">
        <f t="shared" si="6"/>
        <v>1683.4757640597754</v>
      </c>
      <c r="H59" s="28"/>
      <c r="I59" s="7">
        <f t="shared" si="9"/>
        <v>821.59706381393846</v>
      </c>
      <c r="J59" s="7">
        <f t="shared" si="10"/>
        <v>157.27715221581104</v>
      </c>
      <c r="K59" s="6">
        <f t="shared" si="12"/>
        <v>17.8398</v>
      </c>
      <c r="L59" s="6">
        <f t="shared" si="12"/>
        <v>17.8398</v>
      </c>
      <c r="M59" s="41">
        <f t="shared" si="13"/>
        <v>9.5213039573419145E-2</v>
      </c>
      <c r="N59" s="41">
        <f t="shared" si="14"/>
        <v>0.6</v>
      </c>
      <c r="P59">
        <v>3</v>
      </c>
      <c r="R59">
        <v>1</v>
      </c>
      <c r="S59" s="6">
        <f>commhp</f>
        <v>0.2857142857142857</v>
      </c>
      <c r="U59" s="35" t="str">
        <f t="shared" si="15"/>
        <v>Electricity</v>
      </c>
      <c r="V59" s="43">
        <f t="shared" si="16"/>
        <v>1.6985815833818829</v>
      </c>
      <c r="W59" s="43">
        <f t="shared" si="17"/>
        <v>10.70388</v>
      </c>
    </row>
    <row r="60" spans="1:23" x14ac:dyDescent="0.2">
      <c r="A60">
        <v>3</v>
      </c>
      <c r="B60">
        <v>120</v>
      </c>
      <c r="C60" s="3" t="s">
        <v>6</v>
      </c>
      <c r="D60" s="21" t="s">
        <v>10</v>
      </c>
      <c r="E60" s="2" t="s">
        <v>18</v>
      </c>
      <c r="F60" s="29">
        <f t="shared" si="7"/>
        <v>3.3544281209179894</v>
      </c>
      <c r="G60" s="29">
        <f t="shared" si="6"/>
        <v>0.99384078904852635</v>
      </c>
      <c r="H60" s="28"/>
      <c r="I60" s="7">
        <f t="shared" si="9"/>
        <v>821.59706381393846</v>
      </c>
      <c r="J60" s="7">
        <f t="shared" si="10"/>
        <v>550.47003275533871</v>
      </c>
      <c r="K60" s="6">
        <f t="shared" si="12"/>
        <v>17.8398</v>
      </c>
      <c r="L60" s="6">
        <f t="shared" si="12"/>
        <v>17.8398</v>
      </c>
      <c r="M60" s="41">
        <f t="shared" si="13"/>
        <v>2.2885986131405601E-4</v>
      </c>
      <c r="N60" s="41">
        <f t="shared" si="14"/>
        <v>1.0120294591183887E-4</v>
      </c>
      <c r="P60">
        <v>3</v>
      </c>
      <c r="R60">
        <v>1</v>
      </c>
      <c r="S60" s="6">
        <f>commeff</f>
        <v>1</v>
      </c>
      <c r="U60" s="35" t="str">
        <f t="shared" si="15"/>
        <v>Heavy Fuel Oil</v>
      </c>
      <c r="V60" s="43">
        <f t="shared" si="16"/>
        <v>4.0828141538704968E-3</v>
      </c>
      <c r="W60" s="43">
        <f t="shared" si="17"/>
        <v>1.8054403144780232E-3</v>
      </c>
    </row>
    <row r="61" spans="1:23" x14ac:dyDescent="0.2">
      <c r="A61">
        <v>4</v>
      </c>
      <c r="B61">
        <v>119</v>
      </c>
      <c r="C61" s="3" t="s">
        <v>6</v>
      </c>
      <c r="D61" s="21" t="s">
        <v>10</v>
      </c>
      <c r="E61" s="2" t="s">
        <v>17</v>
      </c>
      <c r="F61" s="29">
        <f t="shared" si="7"/>
        <v>357.23645843479488</v>
      </c>
      <c r="G61" s="29">
        <f t="shared" si="6"/>
        <v>105.84104083606856</v>
      </c>
      <c r="H61" s="28"/>
      <c r="I61" s="7">
        <f t="shared" si="9"/>
        <v>821.59706381393846</v>
      </c>
      <c r="J61" s="7">
        <f t="shared" si="10"/>
        <v>550.47003275533871</v>
      </c>
      <c r="K61" s="6">
        <f t="shared" si="12"/>
        <v>17.8398</v>
      </c>
      <c r="L61" s="6">
        <f t="shared" si="12"/>
        <v>17.8398</v>
      </c>
      <c r="M61" s="41">
        <f t="shared" si="13"/>
        <v>2.4372883659029676E-2</v>
      </c>
      <c r="N61" s="41">
        <f t="shared" si="14"/>
        <v>1.0777807923581177E-2</v>
      </c>
      <c r="P61">
        <v>3</v>
      </c>
      <c r="R61">
        <v>1</v>
      </c>
      <c r="S61" s="6">
        <f>commeff</f>
        <v>1</v>
      </c>
      <c r="U61" s="35" t="str">
        <f t="shared" si="15"/>
        <v>Light Fuel Oil and Kerosene</v>
      </c>
      <c r="V61" s="43">
        <f t="shared" si="16"/>
        <v>0.43480736990035762</v>
      </c>
      <c r="W61" s="43">
        <f t="shared" si="17"/>
        <v>0.19227393779510349</v>
      </c>
    </row>
    <row r="62" spans="1:23" x14ac:dyDescent="0.2">
      <c r="A62">
        <v>5</v>
      </c>
      <c r="B62">
        <v>118</v>
      </c>
      <c r="C62" s="3" t="s">
        <v>6</v>
      </c>
      <c r="D62" s="21" t="s">
        <v>10</v>
      </c>
      <c r="E62" s="2" t="s">
        <v>9</v>
      </c>
      <c r="F62" s="29">
        <f t="shared" si="7"/>
        <v>12046.61197124126</v>
      </c>
      <c r="G62" s="29">
        <f t="shared" si="6"/>
        <v>3569.1372464357378</v>
      </c>
      <c r="H62" s="28"/>
      <c r="I62" s="7">
        <f t="shared" si="9"/>
        <v>821.59706381393846</v>
      </c>
      <c r="J62" s="7">
        <f t="shared" si="10"/>
        <v>550.47003275533871</v>
      </c>
      <c r="K62" s="6">
        <f t="shared" si="12"/>
        <v>17.8398</v>
      </c>
      <c r="L62" s="6">
        <f t="shared" si="12"/>
        <v>17.8398</v>
      </c>
      <c r="M62" s="41">
        <f t="shared" si="13"/>
        <v>0.82189447669191118</v>
      </c>
      <c r="N62" s="41">
        <f t="shared" si="14"/>
        <v>0.36344574270168017</v>
      </c>
      <c r="P62">
        <v>3</v>
      </c>
      <c r="R62">
        <v>1</v>
      </c>
      <c r="S62" s="6">
        <f>commeff</f>
        <v>1</v>
      </c>
      <c r="U62" s="35" t="str">
        <f t="shared" si="15"/>
        <v>Natural Gas</v>
      </c>
      <c r="V62" s="43">
        <f t="shared" si="16"/>
        <v>14.662433085288358</v>
      </c>
      <c r="W62" s="43">
        <f t="shared" si="17"/>
        <v>6.4837993606494342</v>
      </c>
    </row>
    <row r="63" spans="1:23" x14ac:dyDescent="0.2">
      <c r="A63">
        <v>6</v>
      </c>
      <c r="B63">
        <v>121</v>
      </c>
      <c r="C63" s="3" t="s">
        <v>6</v>
      </c>
      <c r="D63" s="21" t="s">
        <v>10</v>
      </c>
      <c r="E63" s="2" t="s">
        <v>21</v>
      </c>
      <c r="F63" s="29">
        <f t="shared" si="7"/>
        <v>854.37479967594027</v>
      </c>
      <c r="G63" s="29">
        <f t="shared" si="6"/>
        <v>253.13182886767024</v>
      </c>
      <c r="H63" s="28"/>
      <c r="I63" s="7">
        <f t="shared" si="9"/>
        <v>821.59706381393846</v>
      </c>
      <c r="J63" s="7">
        <f t="shared" si="10"/>
        <v>550.47003275533871</v>
      </c>
      <c r="K63" s="6">
        <f t="shared" si="12"/>
        <v>17.8398</v>
      </c>
      <c r="L63" s="6">
        <f t="shared" si="12"/>
        <v>17.8398</v>
      </c>
      <c r="M63" s="41">
        <f t="shared" si="13"/>
        <v>5.8290740214325946E-2</v>
      </c>
      <c r="N63" s="41">
        <f t="shared" si="14"/>
        <v>2.5776449374738681E-2</v>
      </c>
      <c r="P63">
        <v>3</v>
      </c>
      <c r="R63">
        <v>1</v>
      </c>
      <c r="S63" s="6">
        <f>commeff</f>
        <v>1</v>
      </c>
      <c r="U63" s="35" t="str">
        <f t="shared" si="15"/>
        <v>Other</v>
      </c>
      <c r="V63" s="43">
        <f t="shared" si="16"/>
        <v>1.039895147275532</v>
      </c>
      <c r="W63" s="43">
        <f t="shared" si="17"/>
        <v>0.45984670155546314</v>
      </c>
    </row>
    <row r="64" spans="1:23" x14ac:dyDescent="0.2">
      <c r="A64">
        <v>2</v>
      </c>
      <c r="B64">
        <v>83</v>
      </c>
      <c r="C64" s="3" t="s">
        <v>4</v>
      </c>
      <c r="D64" s="21" t="s">
        <v>10</v>
      </c>
      <c r="E64" s="2" t="s">
        <v>15</v>
      </c>
      <c r="F64" s="29">
        <f t="shared" si="7"/>
        <v>7010.6287860037974</v>
      </c>
      <c r="G64" s="29">
        <f t="shared" si="6"/>
        <v>8689.8544062730507</v>
      </c>
      <c r="H64" s="28"/>
      <c r="I64" s="7">
        <f t="shared" si="9"/>
        <v>747.2263317359027</v>
      </c>
      <c r="J64" s="7">
        <f t="shared" si="10"/>
        <v>143.04046921801563</v>
      </c>
      <c r="K64" s="6">
        <f t="shared" ref="K64:L83" si="18">VLOOKUP($C64,cfloorarea,K$1)</f>
        <v>101.2517</v>
      </c>
      <c r="L64" s="6">
        <f t="shared" si="18"/>
        <v>101.2517</v>
      </c>
      <c r="M64" s="41">
        <f t="shared" si="13"/>
        <v>9.2662172960131683E-2</v>
      </c>
      <c r="N64" s="41">
        <f t="shared" si="14"/>
        <v>0.6</v>
      </c>
      <c r="P64">
        <v>4</v>
      </c>
      <c r="R64">
        <v>1</v>
      </c>
      <c r="S64" s="6">
        <f>commhp</f>
        <v>0.2857142857142857</v>
      </c>
      <c r="U64" s="35" t="str">
        <f t="shared" si="15"/>
        <v>Electricity</v>
      </c>
      <c r="V64" s="43">
        <f t="shared" si="16"/>
        <v>9.3822025379073644</v>
      </c>
      <c r="W64" s="43">
        <f t="shared" si="17"/>
        <v>60.751019999999997</v>
      </c>
    </row>
    <row r="65" spans="1:23" x14ac:dyDescent="0.2">
      <c r="A65">
        <v>3</v>
      </c>
      <c r="B65">
        <v>86</v>
      </c>
      <c r="C65" s="3" t="s">
        <v>4</v>
      </c>
      <c r="D65" s="21" t="s">
        <v>10</v>
      </c>
      <c r="E65" s="2" t="s">
        <v>18</v>
      </c>
      <c r="F65" s="29">
        <f t="shared" si="7"/>
        <v>123.70050096225614</v>
      </c>
      <c r="G65" s="29">
        <f t="shared" si="6"/>
        <v>36.603324135993439</v>
      </c>
      <c r="H65" s="28"/>
      <c r="I65" s="7">
        <f t="shared" si="9"/>
        <v>747.2263317359027</v>
      </c>
      <c r="J65" s="7">
        <f t="shared" si="10"/>
        <v>500.64164226305473</v>
      </c>
      <c r="K65" s="6">
        <f t="shared" si="18"/>
        <v>101.2517</v>
      </c>
      <c r="L65" s="6">
        <f t="shared" si="18"/>
        <v>101.2517</v>
      </c>
      <c r="M65" s="41">
        <f t="shared" si="13"/>
        <v>1.6349970259876352E-3</v>
      </c>
      <c r="N65" s="41">
        <f t="shared" si="14"/>
        <v>7.2208983865605344E-4</v>
      </c>
      <c r="P65">
        <v>4</v>
      </c>
      <c r="R65">
        <v>1</v>
      </c>
      <c r="S65" s="6">
        <f>commeff</f>
        <v>1</v>
      </c>
      <c r="U65" s="35" t="str">
        <f t="shared" si="15"/>
        <v>Heavy Fuel Oil</v>
      </c>
      <c r="V65" s="43">
        <f t="shared" si="16"/>
        <v>0.16554622837619223</v>
      </c>
      <c r="W65" s="43">
        <f t="shared" si="17"/>
        <v>7.3112823716651121E-2</v>
      </c>
    </row>
    <row r="66" spans="1:23" x14ac:dyDescent="0.2">
      <c r="A66">
        <v>4</v>
      </c>
      <c r="B66">
        <v>85</v>
      </c>
      <c r="C66" s="3" t="s">
        <v>4</v>
      </c>
      <c r="D66" s="21" t="s">
        <v>10</v>
      </c>
      <c r="E66" s="2" t="s">
        <v>17</v>
      </c>
      <c r="F66" s="29">
        <f t="shared" si="7"/>
        <v>2059.9680141799327</v>
      </c>
      <c r="G66" s="29">
        <f t="shared" si="6"/>
        <v>609.55029564361735</v>
      </c>
      <c r="H66" s="28"/>
      <c r="I66" s="7">
        <f t="shared" si="9"/>
        <v>747.2263317359027</v>
      </c>
      <c r="J66" s="7">
        <f t="shared" si="10"/>
        <v>500.64164226305473</v>
      </c>
      <c r="K66" s="6">
        <f t="shared" si="18"/>
        <v>101.2517</v>
      </c>
      <c r="L66" s="6">
        <f t="shared" si="18"/>
        <v>101.2517</v>
      </c>
      <c r="M66" s="41">
        <f t="shared" si="13"/>
        <v>2.7227388334033598E-2</v>
      </c>
      <c r="N66" s="41">
        <f t="shared" si="14"/>
        <v>1.2024866184249999E-2</v>
      </c>
      <c r="P66">
        <v>4</v>
      </c>
      <c r="R66">
        <v>1</v>
      </c>
      <c r="S66" s="6">
        <f>commeff</f>
        <v>1</v>
      </c>
      <c r="U66" s="35" t="str">
        <f t="shared" si="15"/>
        <v>Light Fuel Oil and Kerosene</v>
      </c>
      <c r="V66" s="43">
        <f t="shared" si="16"/>
        <v>2.7568193553810696</v>
      </c>
      <c r="W66" s="43">
        <f t="shared" si="17"/>
        <v>1.2175381434278256</v>
      </c>
    </row>
    <row r="67" spans="1:23" x14ac:dyDescent="0.2">
      <c r="A67">
        <v>5</v>
      </c>
      <c r="B67">
        <v>84</v>
      </c>
      <c r="C67" s="3" t="s">
        <v>4</v>
      </c>
      <c r="D67" s="21" t="s">
        <v>10</v>
      </c>
      <c r="E67" s="2" t="s">
        <v>9</v>
      </c>
      <c r="F67" s="29">
        <f t="shared" si="7"/>
        <v>62107.578567944969</v>
      </c>
      <c r="G67" s="29">
        <f t="shared" si="6"/>
        <v>18377.806168447274</v>
      </c>
      <c r="H67" s="28"/>
      <c r="I67" s="7">
        <f t="shared" si="9"/>
        <v>747.2263317359027</v>
      </c>
      <c r="J67" s="7">
        <f t="shared" si="10"/>
        <v>500.64164226305473</v>
      </c>
      <c r="K67" s="6">
        <f t="shared" si="18"/>
        <v>101.2517</v>
      </c>
      <c r="L67" s="6">
        <f t="shared" si="18"/>
        <v>101.2517</v>
      </c>
      <c r="M67" s="41">
        <f t="shared" si="13"/>
        <v>0.82089971713911924</v>
      </c>
      <c r="N67" s="41">
        <f t="shared" si="14"/>
        <v>0.36254704741357091</v>
      </c>
      <c r="P67">
        <v>4</v>
      </c>
      <c r="R67">
        <v>1</v>
      </c>
      <c r="S67" s="6">
        <f>commeff</f>
        <v>1</v>
      </c>
      <c r="U67" s="35" t="str">
        <f t="shared" si="15"/>
        <v>Natural Gas</v>
      </c>
      <c r="V67" s="43">
        <f t="shared" si="16"/>
        <v>83.117491889854961</v>
      </c>
      <c r="W67" s="43">
        <f t="shared" si="17"/>
        <v>36.708504880604657</v>
      </c>
    </row>
    <row r="68" spans="1:23" x14ac:dyDescent="0.2">
      <c r="A68">
        <v>6</v>
      </c>
      <c r="B68">
        <v>87</v>
      </c>
      <c r="C68" s="3" t="s">
        <v>4</v>
      </c>
      <c r="D68" s="21" t="s">
        <v>10</v>
      </c>
      <c r="E68" s="2" t="s">
        <v>21</v>
      </c>
      <c r="F68" s="29">
        <f t="shared" si="7"/>
        <v>4356.0605039331449</v>
      </c>
      <c r="G68" s="29">
        <f t="shared" si="6"/>
        <v>1288.9704838795644</v>
      </c>
      <c r="H68" s="28"/>
      <c r="I68" s="7">
        <f t="shared" si="9"/>
        <v>747.2263317359027</v>
      </c>
      <c r="J68" s="7">
        <f t="shared" ref="J68:J99" si="19">VLOOKUP($D68,cint2030,$P68)*S68</f>
        <v>500.64164226305473</v>
      </c>
      <c r="K68" s="6">
        <f t="shared" si="18"/>
        <v>101.2517</v>
      </c>
      <c r="L68" s="6">
        <f t="shared" si="18"/>
        <v>101.2517</v>
      </c>
      <c r="M68" s="41">
        <f t="shared" si="13"/>
        <v>5.7575724540727784E-2</v>
      </c>
      <c r="N68" s="41">
        <f t="shared" si="14"/>
        <v>2.5428086402179129E-2</v>
      </c>
      <c r="P68">
        <v>4</v>
      </c>
      <c r="R68">
        <v>1</v>
      </c>
      <c r="S68" s="6">
        <f>commeff</f>
        <v>1</v>
      </c>
      <c r="U68" s="35" t="str">
        <f t="shared" si="15"/>
        <v>Other</v>
      </c>
      <c r="V68" s="43">
        <f t="shared" si="16"/>
        <v>5.8296399884804071</v>
      </c>
      <c r="W68" s="43">
        <f t="shared" si="17"/>
        <v>2.5746369759675205</v>
      </c>
    </row>
    <row r="69" spans="1:23" x14ac:dyDescent="0.2">
      <c r="A69">
        <v>2</v>
      </c>
      <c r="B69">
        <v>101</v>
      </c>
      <c r="C69" s="3" t="s">
        <v>5</v>
      </c>
      <c r="D69" s="21" t="s">
        <v>10</v>
      </c>
      <c r="E69" s="2" t="s">
        <v>15</v>
      </c>
      <c r="F69" s="29">
        <f t="shared" ref="F69:F132" si="20">I69*K69*M69</f>
        <v>6377.3279293618371</v>
      </c>
      <c r="G69" s="29">
        <f t="shared" ref="G69:G132" si="21">J69*L69*N69</f>
        <v>7988.3269458851792</v>
      </c>
      <c r="H69" s="28"/>
      <c r="I69" s="7">
        <f t="shared" si="9"/>
        <v>1107.5211029868562</v>
      </c>
      <c r="J69" s="7">
        <f t="shared" si="19"/>
        <v>212.01118257176958</v>
      </c>
      <c r="K69" s="6">
        <f t="shared" si="18"/>
        <v>62.797999999999902</v>
      </c>
      <c r="L69" s="6">
        <f t="shared" si="18"/>
        <v>62.797999999999902</v>
      </c>
      <c r="M69" s="41">
        <f t="shared" si="13"/>
        <v>9.169400175926247E-2</v>
      </c>
      <c r="N69" s="41">
        <f t="shared" si="14"/>
        <v>0.6</v>
      </c>
      <c r="P69">
        <v>5</v>
      </c>
      <c r="R69">
        <v>1</v>
      </c>
      <c r="S69" s="6">
        <f>commhp</f>
        <v>0.2857142857142857</v>
      </c>
      <c r="U69" s="35" t="str">
        <f t="shared" si="15"/>
        <v>Electricity</v>
      </c>
      <c r="V69" s="43">
        <f t="shared" si="16"/>
        <v>5.7581999224781555</v>
      </c>
      <c r="W69" s="43">
        <f t="shared" si="17"/>
        <v>37.678799999999939</v>
      </c>
    </row>
    <row r="70" spans="1:23" x14ac:dyDescent="0.2">
      <c r="A70">
        <v>3</v>
      </c>
      <c r="B70">
        <v>104</v>
      </c>
      <c r="C70" s="3" t="s">
        <v>5</v>
      </c>
      <c r="D70" s="21" t="s">
        <v>10</v>
      </c>
      <c r="E70" s="2" t="s">
        <v>18</v>
      </c>
      <c r="F70" s="29">
        <f t="shared" si="20"/>
        <v>94.385472741818944</v>
      </c>
      <c r="G70" s="29">
        <f t="shared" si="21"/>
        <v>27.890552985003762</v>
      </c>
      <c r="H70" s="28"/>
      <c r="I70" s="7">
        <f t="shared" si="9"/>
        <v>1107.5211029868562</v>
      </c>
      <c r="J70" s="7">
        <f t="shared" si="19"/>
        <v>742.03913900119358</v>
      </c>
      <c r="K70" s="6">
        <f t="shared" si="18"/>
        <v>62.797999999999902</v>
      </c>
      <c r="L70" s="6">
        <f t="shared" si="18"/>
        <v>62.797999999999902</v>
      </c>
      <c r="M70" s="41">
        <f t="shared" si="13"/>
        <v>1.3570858829119686E-3</v>
      </c>
      <c r="N70" s="41">
        <f t="shared" si="14"/>
        <v>5.9852803809374742E-4</v>
      </c>
      <c r="P70">
        <v>5</v>
      </c>
      <c r="R70">
        <v>1</v>
      </c>
      <c r="S70" s="6">
        <f>commeff</f>
        <v>1</v>
      </c>
      <c r="U70" s="35" t="str">
        <f t="shared" si="15"/>
        <v>Heavy Fuel Oil</v>
      </c>
      <c r="V70" s="43">
        <f t="shared" si="16"/>
        <v>8.5222279275105672E-2</v>
      </c>
      <c r="W70" s="43">
        <f t="shared" si="17"/>
        <v>3.758636373621109E-2</v>
      </c>
    </row>
    <row r="71" spans="1:23" x14ac:dyDescent="0.2">
      <c r="A71">
        <v>4</v>
      </c>
      <c r="B71">
        <v>103</v>
      </c>
      <c r="C71" s="3" t="s">
        <v>5</v>
      </c>
      <c r="D71" s="21" t="s">
        <v>10</v>
      </c>
      <c r="E71" s="2" t="s">
        <v>17</v>
      </c>
      <c r="F71" s="29">
        <f t="shared" si="20"/>
        <v>4405.8504819933978</v>
      </c>
      <c r="G71" s="29">
        <f t="shared" si="21"/>
        <v>1301.9122831346124</v>
      </c>
      <c r="H71" s="28"/>
      <c r="I71" s="7">
        <f t="shared" si="9"/>
        <v>1107.5211029868562</v>
      </c>
      <c r="J71" s="7">
        <f t="shared" si="19"/>
        <v>742.03913900119358</v>
      </c>
      <c r="K71" s="6">
        <f t="shared" si="18"/>
        <v>62.797999999999902</v>
      </c>
      <c r="L71" s="6">
        <f t="shared" si="18"/>
        <v>62.797999999999902</v>
      </c>
      <c r="M71" s="41">
        <f t="shared" si="13"/>
        <v>6.3347857648489506E-2</v>
      </c>
      <c r="N71" s="41">
        <f t="shared" si="14"/>
        <v>2.7938886870177482E-2</v>
      </c>
      <c r="P71">
        <v>5</v>
      </c>
      <c r="R71">
        <v>1</v>
      </c>
      <c r="S71" s="6">
        <f>commeff</f>
        <v>1</v>
      </c>
      <c r="U71" s="35" t="str">
        <f t="shared" si="15"/>
        <v>Light Fuel Oil and Kerosene</v>
      </c>
      <c r="V71" s="43">
        <f t="shared" si="16"/>
        <v>3.9781187646098379</v>
      </c>
      <c r="W71" s="43">
        <f t="shared" si="17"/>
        <v>1.7545062176734028</v>
      </c>
    </row>
    <row r="72" spans="1:23" x14ac:dyDescent="0.2">
      <c r="A72">
        <v>5</v>
      </c>
      <c r="B72">
        <v>102</v>
      </c>
      <c r="C72" s="3" t="s">
        <v>5</v>
      </c>
      <c r="D72" s="21" t="s">
        <v>10</v>
      </c>
      <c r="E72" s="2" t="s">
        <v>9</v>
      </c>
      <c r="F72" s="29">
        <f t="shared" si="20"/>
        <v>55200.89442881017</v>
      </c>
      <c r="G72" s="29">
        <f t="shared" si="21"/>
        <v>16311.657145561903</v>
      </c>
      <c r="H72" s="28"/>
      <c r="I72" s="7">
        <f t="shared" si="9"/>
        <v>1107.5211029868562</v>
      </c>
      <c r="J72" s="7">
        <f t="shared" si="19"/>
        <v>742.03913900119358</v>
      </c>
      <c r="K72" s="6">
        <f t="shared" si="18"/>
        <v>62.797999999999902</v>
      </c>
      <c r="L72" s="6">
        <f t="shared" si="18"/>
        <v>62.797999999999902</v>
      </c>
      <c r="M72" s="41">
        <f t="shared" si="13"/>
        <v>0.7936852184696549</v>
      </c>
      <c r="N72" s="41">
        <f t="shared" si="14"/>
        <v>0.3500462738992805</v>
      </c>
      <c r="P72">
        <v>5</v>
      </c>
      <c r="R72">
        <v>1</v>
      </c>
      <c r="S72" s="6">
        <f>commeff</f>
        <v>1</v>
      </c>
      <c r="U72" s="35" t="str">
        <f t="shared" si="15"/>
        <v>Natural Gas</v>
      </c>
      <c r="V72" s="43">
        <f t="shared" si="16"/>
        <v>49.841844349457311</v>
      </c>
      <c r="W72" s="43">
        <f t="shared" si="17"/>
        <v>21.982205908326982</v>
      </c>
    </row>
    <row r="73" spans="1:23" x14ac:dyDescent="0.2">
      <c r="A73">
        <v>6</v>
      </c>
      <c r="B73">
        <v>105</v>
      </c>
      <c r="C73" s="3" t="s">
        <v>5</v>
      </c>
      <c r="D73" s="21" t="s">
        <v>10</v>
      </c>
      <c r="E73" s="2" t="s">
        <v>21</v>
      </c>
      <c r="F73" s="29">
        <f t="shared" si="20"/>
        <v>3471.6519124612687</v>
      </c>
      <c r="G73" s="29">
        <f t="shared" si="21"/>
        <v>1025.8601117022351</v>
      </c>
      <c r="H73" s="28"/>
      <c r="I73" s="7">
        <f t="shared" si="9"/>
        <v>1107.5211029868562</v>
      </c>
      <c r="J73" s="7">
        <f t="shared" si="19"/>
        <v>742.03913900119358</v>
      </c>
      <c r="K73" s="6">
        <f t="shared" si="18"/>
        <v>62.797999999999902</v>
      </c>
      <c r="L73" s="6">
        <f t="shared" si="18"/>
        <v>62.797999999999902</v>
      </c>
      <c r="M73" s="41">
        <f t="shared" si="13"/>
        <v>4.9915836239681169E-2</v>
      </c>
      <c r="N73" s="41">
        <f t="shared" si="14"/>
        <v>2.201483923054201E-2</v>
      </c>
      <c r="P73">
        <v>5</v>
      </c>
      <c r="R73">
        <v>1</v>
      </c>
      <c r="S73" s="6">
        <f>commeff</f>
        <v>1</v>
      </c>
      <c r="U73" s="35" t="str">
        <f t="shared" si="15"/>
        <v>Other</v>
      </c>
      <c r="V73" s="43">
        <f t="shared" si="16"/>
        <v>3.1346146841794931</v>
      </c>
      <c r="W73" s="43">
        <f t="shared" si="17"/>
        <v>1.382487873999575</v>
      </c>
    </row>
    <row r="74" spans="1:23" x14ac:dyDescent="0.2">
      <c r="A74">
        <v>2</v>
      </c>
      <c r="B74">
        <v>51</v>
      </c>
      <c r="C74" s="3" t="s">
        <v>3</v>
      </c>
      <c r="D74" s="21" t="s">
        <v>10</v>
      </c>
      <c r="E74" s="2" t="s">
        <v>15</v>
      </c>
      <c r="F74" s="29">
        <f t="shared" si="20"/>
        <v>1133.589569655488</v>
      </c>
      <c r="G74" s="29">
        <f t="shared" si="21"/>
        <v>1393.0720431724726</v>
      </c>
      <c r="H74" s="28"/>
      <c r="I74" s="7">
        <f t="shared" si="9"/>
        <v>829.0489001338168</v>
      </c>
      <c r="J74" s="7">
        <f t="shared" si="19"/>
        <v>158.70364659704489</v>
      </c>
      <c r="K74" s="6">
        <f t="shared" si="18"/>
        <v>14.6297</v>
      </c>
      <c r="L74" s="6">
        <f t="shared" si="18"/>
        <v>14.6297</v>
      </c>
      <c r="M74" s="41">
        <f t="shared" si="13"/>
        <v>9.346311971545869E-2</v>
      </c>
      <c r="N74" s="41">
        <f t="shared" si="14"/>
        <v>0.6</v>
      </c>
      <c r="P74">
        <v>6</v>
      </c>
      <c r="R74">
        <v>1</v>
      </c>
      <c r="S74" s="6">
        <f>commhp</f>
        <v>0.2857142857142857</v>
      </c>
      <c r="U74" s="35" t="str">
        <f t="shared" si="15"/>
        <v>Electricity</v>
      </c>
      <c r="V74" s="43">
        <f t="shared" si="16"/>
        <v>1.3673374025012459</v>
      </c>
      <c r="W74" s="43">
        <f t="shared" si="17"/>
        <v>8.7778200000000002</v>
      </c>
    </row>
    <row r="75" spans="1:23" x14ac:dyDescent="0.2">
      <c r="A75">
        <v>3</v>
      </c>
      <c r="B75">
        <v>54</v>
      </c>
      <c r="C75" s="3" t="s">
        <v>3</v>
      </c>
      <c r="D75" s="21" t="s">
        <v>10</v>
      </c>
      <c r="E75" s="2" t="s">
        <v>18</v>
      </c>
      <c r="F75" s="29">
        <f t="shared" si="20"/>
        <v>2.1432334859959963</v>
      </c>
      <c r="G75" s="29">
        <f t="shared" si="21"/>
        <v>0.63372883233360877</v>
      </c>
      <c r="H75" s="28"/>
      <c r="I75" s="7">
        <f t="shared" si="9"/>
        <v>829.0489001338168</v>
      </c>
      <c r="J75" s="7">
        <f t="shared" si="19"/>
        <v>555.46276308965719</v>
      </c>
      <c r="K75" s="6">
        <f t="shared" si="18"/>
        <v>14.6297</v>
      </c>
      <c r="L75" s="6">
        <f t="shared" si="18"/>
        <v>14.6297</v>
      </c>
      <c r="M75" s="41">
        <f t="shared" si="13"/>
        <v>1.7670706686256945E-4</v>
      </c>
      <c r="N75" s="41">
        <f t="shared" si="14"/>
        <v>7.7985362589461473E-5</v>
      </c>
      <c r="P75">
        <v>6</v>
      </c>
      <c r="R75">
        <v>1</v>
      </c>
      <c r="S75" s="6">
        <f>commeff</f>
        <v>1</v>
      </c>
      <c r="U75" s="35" t="str">
        <f t="shared" si="15"/>
        <v>Heavy Fuel Oil</v>
      </c>
      <c r="V75" s="43">
        <f t="shared" si="16"/>
        <v>2.5851713760793324E-3</v>
      </c>
      <c r="W75" s="43">
        <f t="shared" si="17"/>
        <v>1.1409024590750445E-3</v>
      </c>
    </row>
    <row r="76" spans="1:23" x14ac:dyDescent="0.2">
      <c r="A76">
        <v>4</v>
      </c>
      <c r="B76">
        <v>53</v>
      </c>
      <c r="C76" s="3" t="s">
        <v>3</v>
      </c>
      <c r="D76" s="21" t="s">
        <v>10</v>
      </c>
      <c r="E76" s="2" t="s">
        <v>17</v>
      </c>
      <c r="F76" s="29">
        <f t="shared" si="20"/>
        <v>379.35927074901826</v>
      </c>
      <c r="G76" s="29">
        <f t="shared" si="21"/>
        <v>112.17205650133901</v>
      </c>
      <c r="H76" s="28"/>
      <c r="I76" s="7">
        <f t="shared" si="9"/>
        <v>829.0489001338168</v>
      </c>
      <c r="J76" s="7">
        <f t="shared" si="19"/>
        <v>555.46276308965719</v>
      </c>
      <c r="K76" s="6">
        <f t="shared" si="18"/>
        <v>14.6297</v>
      </c>
      <c r="L76" s="6">
        <f t="shared" si="18"/>
        <v>14.6297</v>
      </c>
      <c r="M76" s="41">
        <f t="shared" si="13"/>
        <v>3.1277723336815944E-2</v>
      </c>
      <c r="N76" s="41">
        <f t="shared" si="14"/>
        <v>1.3803661838218937E-2</v>
      </c>
      <c r="P76">
        <v>6</v>
      </c>
      <c r="R76">
        <v>1</v>
      </c>
      <c r="S76" s="6">
        <f>commeff</f>
        <v>1</v>
      </c>
      <c r="U76" s="35" t="str">
        <f t="shared" si="15"/>
        <v>Light Fuel Oil and Kerosene</v>
      </c>
      <c r="V76" s="43">
        <f t="shared" si="16"/>
        <v>0.45758370910061619</v>
      </c>
      <c r="W76" s="43">
        <f t="shared" si="17"/>
        <v>0.20194343159459158</v>
      </c>
    </row>
    <row r="77" spans="1:23" x14ac:dyDescent="0.2">
      <c r="A77">
        <v>5</v>
      </c>
      <c r="B77">
        <v>52</v>
      </c>
      <c r="C77" s="3" t="s">
        <v>3</v>
      </c>
      <c r="D77" s="21" t="s">
        <v>10</v>
      </c>
      <c r="E77" s="2" t="s">
        <v>9</v>
      </c>
      <c r="F77" s="29">
        <f t="shared" si="20"/>
        <v>9887.7133904626626</v>
      </c>
      <c r="G77" s="29">
        <f t="shared" si="21"/>
        <v>2923.6800854085745</v>
      </c>
      <c r="H77" s="28"/>
      <c r="I77" s="7">
        <f t="shared" si="9"/>
        <v>829.0489001338168</v>
      </c>
      <c r="J77" s="7">
        <f t="shared" si="19"/>
        <v>555.46276308965719</v>
      </c>
      <c r="K77" s="6">
        <f t="shared" si="18"/>
        <v>14.6297</v>
      </c>
      <c r="L77" s="6">
        <f t="shared" si="18"/>
        <v>14.6297</v>
      </c>
      <c r="M77" s="41">
        <f t="shared" si="13"/>
        <v>0.81523027827947669</v>
      </c>
      <c r="N77" s="41">
        <f t="shared" si="14"/>
        <v>0.35978203913586326</v>
      </c>
      <c r="P77">
        <v>6</v>
      </c>
      <c r="R77">
        <v>1</v>
      </c>
      <c r="S77" s="6">
        <f>commeff</f>
        <v>1</v>
      </c>
      <c r="U77" s="35" t="str">
        <f t="shared" si="15"/>
        <v>Natural Gas</v>
      </c>
      <c r="V77" s="43">
        <f t="shared" si="16"/>
        <v>11.92657440214526</v>
      </c>
      <c r="W77" s="43">
        <f t="shared" si="17"/>
        <v>5.2635032979459391</v>
      </c>
    </row>
    <row r="78" spans="1:23" x14ac:dyDescent="0.2">
      <c r="A78">
        <v>6</v>
      </c>
      <c r="B78">
        <v>55</v>
      </c>
      <c r="C78" s="3" t="s">
        <v>3</v>
      </c>
      <c r="D78" s="21" t="s">
        <v>10</v>
      </c>
      <c r="E78" s="2" t="s">
        <v>21</v>
      </c>
      <c r="F78" s="29">
        <f t="shared" si="20"/>
        <v>725.93122993453562</v>
      </c>
      <c r="G78" s="29">
        <f t="shared" si="21"/>
        <v>214.64929215918994</v>
      </c>
      <c r="H78" s="28"/>
      <c r="I78" s="7">
        <f t="shared" si="9"/>
        <v>829.0489001338168</v>
      </c>
      <c r="J78" s="7">
        <f t="shared" si="19"/>
        <v>555.46276308965719</v>
      </c>
      <c r="K78" s="6">
        <f t="shared" si="18"/>
        <v>14.6297</v>
      </c>
      <c r="L78" s="6">
        <f t="shared" si="18"/>
        <v>14.6297</v>
      </c>
      <c r="M78" s="41">
        <f t="shared" si="13"/>
        <v>5.9852171601386082E-2</v>
      </c>
      <c r="N78" s="41">
        <f t="shared" si="14"/>
        <v>2.6414299025917815E-2</v>
      </c>
      <c r="P78">
        <v>6</v>
      </c>
      <c r="R78">
        <v>1</v>
      </c>
      <c r="S78" s="6">
        <f>commeff</f>
        <v>1</v>
      </c>
      <c r="U78" s="35" t="str">
        <f t="shared" si="15"/>
        <v>Other</v>
      </c>
      <c r="V78" s="43">
        <f t="shared" si="16"/>
        <v>0.87561931487679801</v>
      </c>
      <c r="W78" s="43">
        <f t="shared" si="17"/>
        <v>0.38643327045946985</v>
      </c>
    </row>
    <row r="79" spans="1:23" x14ac:dyDescent="0.2">
      <c r="A79">
        <v>2</v>
      </c>
      <c r="B79">
        <v>67</v>
      </c>
      <c r="C79" s="24" t="s">
        <v>24</v>
      </c>
      <c r="D79" s="21" t="s">
        <v>10</v>
      </c>
      <c r="E79" s="2" t="s">
        <v>15</v>
      </c>
      <c r="F79" s="29">
        <f t="shared" si="20"/>
        <v>22313.093186031721</v>
      </c>
      <c r="G79" s="29">
        <f t="shared" si="21"/>
        <v>23594.364607665022</v>
      </c>
      <c r="H79" s="28"/>
      <c r="I79" s="7">
        <f t="shared" si="9"/>
        <v>665.56736170016961</v>
      </c>
      <c r="J79" s="7">
        <f t="shared" si="19"/>
        <v>127.40860923974674</v>
      </c>
      <c r="K79" s="6">
        <f t="shared" si="18"/>
        <v>308.64429999999902</v>
      </c>
      <c r="L79" s="6">
        <f t="shared" si="18"/>
        <v>308.64429999999902</v>
      </c>
      <c r="M79" s="41">
        <f t="shared" si="13"/>
        <v>0.10861992574363336</v>
      </c>
      <c r="N79" s="41">
        <f t="shared" si="14"/>
        <v>0.6</v>
      </c>
      <c r="P79">
        <v>7</v>
      </c>
      <c r="R79">
        <v>1</v>
      </c>
      <c r="S79" s="6">
        <f>commhp</f>
        <v>0.2857142857142857</v>
      </c>
      <c r="U79" s="35" t="str">
        <f t="shared" si="15"/>
        <v>Electricity</v>
      </c>
      <c r="V79" s="43">
        <f t="shared" si="16"/>
        <v>33.524920947195589</v>
      </c>
      <c r="W79" s="43">
        <f t="shared" si="17"/>
        <v>185.1865799999994</v>
      </c>
    </row>
    <row r="80" spans="1:23" x14ac:dyDescent="0.2">
      <c r="A80">
        <v>3</v>
      </c>
      <c r="B80">
        <v>70</v>
      </c>
      <c r="C80" s="24" t="s">
        <v>24</v>
      </c>
      <c r="D80" s="21" t="s">
        <v>10</v>
      </c>
      <c r="E80" s="2" t="s">
        <v>18</v>
      </c>
      <c r="F80" s="29">
        <f t="shared" si="20"/>
        <v>352.17100263937476</v>
      </c>
      <c r="G80" s="29">
        <f t="shared" si="21"/>
        <v>106.08684558213692</v>
      </c>
      <c r="H80" s="28"/>
      <c r="I80" s="7">
        <f t="shared" si="9"/>
        <v>665.56736170016961</v>
      </c>
      <c r="J80" s="7">
        <f t="shared" si="19"/>
        <v>445.93013233911358</v>
      </c>
      <c r="K80" s="6">
        <f t="shared" si="18"/>
        <v>308.64429999999902</v>
      </c>
      <c r="L80" s="6">
        <f t="shared" si="18"/>
        <v>308.64429999999902</v>
      </c>
      <c r="M80" s="41">
        <f t="shared" si="13"/>
        <v>1.714365096619438E-3</v>
      </c>
      <c r="N80" s="41">
        <f t="shared" si="14"/>
        <v>7.707906819241513E-4</v>
      </c>
      <c r="P80">
        <v>7</v>
      </c>
      <c r="R80">
        <v>1</v>
      </c>
      <c r="S80" s="6">
        <f>commeff</f>
        <v>1</v>
      </c>
      <c r="U80" s="35" t="str">
        <f t="shared" si="15"/>
        <v>Heavy Fuel Oil</v>
      </c>
      <c r="V80" s="43">
        <f t="shared" si="16"/>
        <v>0.52912901519053712</v>
      </c>
      <c r="W80" s="43">
        <f t="shared" si="17"/>
        <v>0.23790015046900156</v>
      </c>
    </row>
    <row r="81" spans="1:29" x14ac:dyDescent="0.2">
      <c r="A81">
        <v>4</v>
      </c>
      <c r="B81">
        <v>69</v>
      </c>
      <c r="C81" s="24" t="s">
        <v>24</v>
      </c>
      <c r="D81" s="21" t="s">
        <v>10</v>
      </c>
      <c r="E81" s="2" t="s">
        <v>17</v>
      </c>
      <c r="F81" s="29">
        <f t="shared" si="20"/>
        <v>8824.1460434688888</v>
      </c>
      <c r="G81" s="29">
        <f t="shared" si="21"/>
        <v>2658.1570080779961</v>
      </c>
      <c r="H81" s="28"/>
      <c r="I81" s="7">
        <f t="shared" si="9"/>
        <v>665.56736170016961</v>
      </c>
      <c r="J81" s="7">
        <f t="shared" si="19"/>
        <v>445.93013233911358</v>
      </c>
      <c r="K81" s="6">
        <f t="shared" si="18"/>
        <v>308.64429999999902</v>
      </c>
      <c r="L81" s="6">
        <f t="shared" si="18"/>
        <v>308.64429999999902</v>
      </c>
      <c r="M81" s="41">
        <f t="shared" si="13"/>
        <v>4.2955859145185044E-2</v>
      </c>
      <c r="N81" s="41">
        <f t="shared" si="14"/>
        <v>1.9313258318455411E-2</v>
      </c>
      <c r="P81">
        <v>7</v>
      </c>
      <c r="R81">
        <v>1</v>
      </c>
      <c r="S81" s="6">
        <f>commeff</f>
        <v>1</v>
      </c>
      <c r="U81" s="35" t="str">
        <f t="shared" si="15"/>
        <v>Light Fuel Oil and Kerosene</v>
      </c>
      <c r="V81" s="43">
        <f t="shared" si="16"/>
        <v>13.258081076764194</v>
      </c>
      <c r="W81" s="43">
        <f t="shared" si="17"/>
        <v>5.9609270944188282</v>
      </c>
    </row>
    <row r="82" spans="1:29" x14ac:dyDescent="0.2">
      <c r="A82">
        <v>5</v>
      </c>
      <c r="B82">
        <v>68</v>
      </c>
      <c r="C82" s="24" t="s">
        <v>24</v>
      </c>
      <c r="D82" s="21" t="s">
        <v>10</v>
      </c>
      <c r="E82" s="2" t="s">
        <v>9</v>
      </c>
      <c r="F82" s="29">
        <f t="shared" si="20"/>
        <v>164079.27849238939</v>
      </c>
      <c r="G82" s="29">
        <f t="shared" si="21"/>
        <v>49426.707338750071</v>
      </c>
      <c r="H82" s="28"/>
      <c r="I82" s="7">
        <f t="shared" si="9"/>
        <v>665.56736170016961</v>
      </c>
      <c r="J82" s="7">
        <f t="shared" si="19"/>
        <v>445.93013233911358</v>
      </c>
      <c r="K82" s="6">
        <f t="shared" si="18"/>
        <v>308.64429999999902</v>
      </c>
      <c r="L82" s="6">
        <f t="shared" si="18"/>
        <v>308.64429999999902</v>
      </c>
      <c r="M82" s="41">
        <f t="shared" si="13"/>
        <v>0.79873636959797434</v>
      </c>
      <c r="N82" s="41">
        <f t="shared" si="14"/>
        <v>0.35911752532413471</v>
      </c>
      <c r="P82">
        <v>7</v>
      </c>
      <c r="R82">
        <v>1</v>
      </c>
      <c r="S82" s="6">
        <f>commeff</f>
        <v>1</v>
      </c>
      <c r="U82" s="35" t="str">
        <f t="shared" si="15"/>
        <v>Natural Gas</v>
      </c>
      <c r="V82" s="43">
        <f t="shared" si="16"/>
        <v>246.52542767910728</v>
      </c>
      <c r="W82" s="43">
        <f t="shared" si="17"/>
        <v>110.83957722139948</v>
      </c>
    </row>
    <row r="83" spans="1:29" x14ac:dyDescent="0.2">
      <c r="A83">
        <v>6</v>
      </c>
      <c r="B83">
        <v>71</v>
      </c>
      <c r="C83" s="24" t="s">
        <v>24</v>
      </c>
      <c r="D83" s="21" t="s">
        <v>10</v>
      </c>
      <c r="E83" s="2" t="s">
        <v>21</v>
      </c>
      <c r="F83" s="29">
        <f t="shared" si="20"/>
        <v>9854.8837302656066</v>
      </c>
      <c r="G83" s="29">
        <f t="shared" si="21"/>
        <v>2968.6530710569946</v>
      </c>
      <c r="H83" s="28"/>
      <c r="I83" s="7">
        <f t="shared" si="9"/>
        <v>665.56736170016961</v>
      </c>
      <c r="J83" s="7">
        <f t="shared" si="19"/>
        <v>445.93013233911358</v>
      </c>
      <c r="K83" s="6">
        <f t="shared" si="18"/>
        <v>308.64429999999902</v>
      </c>
      <c r="L83" s="6">
        <f t="shared" si="18"/>
        <v>308.64429999999902</v>
      </c>
      <c r="M83" s="41">
        <f t="shared" si="13"/>
        <v>4.7973480416587763E-2</v>
      </c>
      <c r="N83" s="41">
        <f t="shared" si="14"/>
        <v>2.1569216357409909E-2</v>
      </c>
      <c r="P83">
        <v>7</v>
      </c>
      <c r="R83">
        <v>1</v>
      </c>
      <c r="S83" s="6">
        <f>commeff</f>
        <v>1</v>
      </c>
      <c r="U83" s="35" t="str">
        <f t="shared" si="15"/>
        <v>Other</v>
      </c>
      <c r="V83" s="43">
        <f t="shared" si="16"/>
        <v>14.806741281741392</v>
      </c>
      <c r="W83" s="43">
        <f t="shared" si="17"/>
        <v>6.6572156841813106</v>
      </c>
    </row>
    <row r="84" spans="1:29" x14ac:dyDescent="0.2">
      <c r="A84">
        <v>2</v>
      </c>
      <c r="B84">
        <v>149</v>
      </c>
      <c r="C84" s="3" t="s">
        <v>8</v>
      </c>
      <c r="D84" s="21" t="s">
        <v>10</v>
      </c>
      <c r="E84" s="2" t="s">
        <v>15</v>
      </c>
      <c r="F84" s="29">
        <f t="shared" si="20"/>
        <v>905.41385794290818</v>
      </c>
      <c r="G84" s="29">
        <f t="shared" si="21"/>
        <v>1050.2840616027302</v>
      </c>
      <c r="H84" s="28"/>
      <c r="I84" s="7">
        <f t="shared" si="9"/>
        <v>728.94027852098054</v>
      </c>
      <c r="J84" s="7">
        <f t="shared" si="19"/>
        <v>139.53999617401624</v>
      </c>
      <c r="K84" s="6">
        <f t="shared" ref="K84:L103" si="22">VLOOKUP($C84,cfloorarea,K$1)</f>
        <v>12.5445999999999</v>
      </c>
      <c r="L84" s="6">
        <f t="shared" si="22"/>
        <v>12.5445999999999</v>
      </c>
      <c r="M84" s="41">
        <f t="shared" si="13"/>
        <v>9.9014402511156896E-2</v>
      </c>
      <c r="N84" s="41">
        <f t="shared" si="14"/>
        <v>0.6</v>
      </c>
      <c r="P84">
        <v>8</v>
      </c>
      <c r="R84">
        <v>1</v>
      </c>
      <c r="S84" s="6">
        <f>commhp</f>
        <v>0.2857142857142857</v>
      </c>
      <c r="U84" s="35" t="str">
        <f t="shared" si="15"/>
        <v>Electricity</v>
      </c>
      <c r="V84" s="43">
        <f t="shared" si="16"/>
        <v>1.2420960737414488</v>
      </c>
      <c r="W84" s="43">
        <f t="shared" si="17"/>
        <v>7.5267599999999391</v>
      </c>
    </row>
    <row r="85" spans="1:29" x14ac:dyDescent="0.2">
      <c r="A85">
        <v>3</v>
      </c>
      <c r="B85">
        <v>152</v>
      </c>
      <c r="C85" s="3" t="s">
        <v>8</v>
      </c>
      <c r="D85" s="21" t="s">
        <v>10</v>
      </c>
      <c r="E85" s="2" t="s">
        <v>18</v>
      </c>
      <c r="F85" s="29">
        <f t="shared" si="20"/>
        <v>0.19390928008600006</v>
      </c>
      <c r="G85" s="29">
        <f t="shared" si="21"/>
        <v>5.7680067635106858E-2</v>
      </c>
      <c r="H85" s="28"/>
      <c r="I85" s="7">
        <f t="shared" si="9"/>
        <v>728.94027852098054</v>
      </c>
      <c r="J85" s="7">
        <f t="shared" si="19"/>
        <v>488.3899866090569</v>
      </c>
      <c r="K85" s="6">
        <f t="shared" si="22"/>
        <v>12.5445999999999</v>
      </c>
      <c r="L85" s="6">
        <f t="shared" si="22"/>
        <v>12.5445999999999</v>
      </c>
      <c r="M85" s="41">
        <f t="shared" si="13"/>
        <v>2.1205563997778497E-5</v>
      </c>
      <c r="N85" s="41">
        <f t="shared" si="14"/>
        <v>9.4146069202465782E-6</v>
      </c>
      <c r="P85">
        <v>8</v>
      </c>
      <c r="R85">
        <v>1</v>
      </c>
      <c r="S85" s="6">
        <f>commeff</f>
        <v>1</v>
      </c>
      <c r="U85" s="35" t="str">
        <f t="shared" si="15"/>
        <v>Heavy Fuel Oil</v>
      </c>
      <c r="V85" s="43">
        <f t="shared" si="16"/>
        <v>2.6601531812653004E-4</v>
      </c>
      <c r="W85" s="43">
        <f t="shared" si="17"/>
        <v>1.1810247797172428E-4</v>
      </c>
    </row>
    <row r="86" spans="1:29" x14ac:dyDescent="0.2">
      <c r="A86">
        <v>4</v>
      </c>
      <c r="B86">
        <v>151</v>
      </c>
      <c r="C86" s="3" t="s">
        <v>8</v>
      </c>
      <c r="D86" s="21" t="s">
        <v>10</v>
      </c>
      <c r="E86" s="2" t="s">
        <v>17</v>
      </c>
      <c r="F86" s="29">
        <f t="shared" si="20"/>
        <v>142.56722994301904</v>
      </c>
      <c r="G86" s="29">
        <f t="shared" si="21"/>
        <v>42.407910864379929</v>
      </c>
      <c r="H86" s="28"/>
      <c r="I86" s="7">
        <f t="shared" si="9"/>
        <v>728.94027852098054</v>
      </c>
      <c r="J86" s="7">
        <f t="shared" si="19"/>
        <v>488.3899866090569</v>
      </c>
      <c r="K86" s="6">
        <f t="shared" si="22"/>
        <v>12.5445999999999</v>
      </c>
      <c r="L86" s="6">
        <f t="shared" si="22"/>
        <v>12.5445999999999</v>
      </c>
      <c r="M86" s="41">
        <f t="shared" ref="M86:M103" si="23">HLOOKUP($C86,heatsh19,$A86)</f>
        <v>1.5590891354977317E-2</v>
      </c>
      <c r="N86" s="41">
        <f t="shared" ref="N86:N103" si="24">HLOOKUP($C86,heatshint,$A86)</f>
        <v>6.9218679427134767E-3</v>
      </c>
      <c r="P86">
        <v>8</v>
      </c>
      <c r="R86">
        <v>1</v>
      </c>
      <c r="S86" s="6">
        <f>commeff</f>
        <v>1</v>
      </c>
      <c r="U86" s="35" t="str">
        <f t="shared" ref="U86:U117" si="25">E86</f>
        <v>Light Fuel Oil and Kerosene</v>
      </c>
      <c r="V86" s="43">
        <f t="shared" si="16"/>
        <v>0.1955814956916469</v>
      </c>
      <c r="W86" s="43">
        <f t="shared" si="17"/>
        <v>8.6832064594162789E-2</v>
      </c>
    </row>
    <row r="87" spans="1:29" x14ac:dyDescent="0.2">
      <c r="A87">
        <v>5</v>
      </c>
      <c r="B87">
        <v>150</v>
      </c>
      <c r="C87" s="3" t="s">
        <v>8</v>
      </c>
      <c r="D87" s="21" t="s">
        <v>10</v>
      </c>
      <c r="E87" s="2" t="s">
        <v>9</v>
      </c>
      <c r="F87" s="29">
        <f t="shared" si="20"/>
        <v>7637.0236576409816</v>
      </c>
      <c r="G87" s="29">
        <f t="shared" si="21"/>
        <v>2271.7016994146779</v>
      </c>
      <c r="H87" s="28"/>
      <c r="I87" s="7">
        <f t="shared" si="9"/>
        <v>728.94027852098054</v>
      </c>
      <c r="J87" s="7">
        <f t="shared" si="19"/>
        <v>488.3899866090569</v>
      </c>
      <c r="K87" s="6">
        <f t="shared" si="22"/>
        <v>12.5445999999999</v>
      </c>
      <c r="L87" s="6">
        <f t="shared" si="22"/>
        <v>12.5445999999999</v>
      </c>
      <c r="M87" s="41">
        <f t="shared" si="23"/>
        <v>0.83517093071991977</v>
      </c>
      <c r="N87" s="41">
        <f t="shared" si="24"/>
        <v>0.37078976181761747</v>
      </c>
      <c r="P87">
        <v>8</v>
      </c>
      <c r="R87">
        <v>1</v>
      </c>
      <c r="S87" s="6">
        <f>commeff</f>
        <v>1</v>
      </c>
      <c r="U87" s="35" t="str">
        <f t="shared" si="25"/>
        <v>Natural Gas</v>
      </c>
      <c r="V87" s="43">
        <f t="shared" si="16"/>
        <v>10.476885257509021</v>
      </c>
      <c r="W87" s="43">
        <f t="shared" si="17"/>
        <v>4.6514092460972467</v>
      </c>
    </row>
    <row r="88" spans="1:29" x14ac:dyDescent="0.2">
      <c r="A88">
        <v>6</v>
      </c>
      <c r="B88">
        <v>153</v>
      </c>
      <c r="C88" s="3" t="s">
        <v>8</v>
      </c>
      <c r="D88" s="21" t="s">
        <v>10</v>
      </c>
      <c r="E88" s="2" t="s">
        <v>21</v>
      </c>
      <c r="F88" s="29">
        <f t="shared" si="20"/>
        <v>459.06556312722614</v>
      </c>
      <c r="G88" s="29">
        <f t="shared" si="21"/>
        <v>136.55320012731335</v>
      </c>
      <c r="H88" s="28"/>
      <c r="I88" s="7">
        <f t="shared" si="9"/>
        <v>728.94027852098054</v>
      </c>
      <c r="J88" s="7">
        <f t="shared" si="19"/>
        <v>488.3899866090569</v>
      </c>
      <c r="K88" s="6">
        <f t="shared" si="22"/>
        <v>12.5445999999999</v>
      </c>
      <c r="L88" s="6">
        <f t="shared" si="22"/>
        <v>12.5445999999999</v>
      </c>
      <c r="M88" s="41">
        <f t="shared" si="23"/>
        <v>5.0202569849948364E-2</v>
      </c>
      <c r="N88" s="41">
        <f t="shared" si="24"/>
        <v>2.2288370239669161E-2</v>
      </c>
      <c r="P88">
        <v>8</v>
      </c>
      <c r="R88">
        <v>1</v>
      </c>
      <c r="S88" s="6">
        <f>commeff</f>
        <v>1</v>
      </c>
      <c r="U88" s="35" t="str">
        <f t="shared" si="25"/>
        <v>Other</v>
      </c>
      <c r="V88" s="43">
        <f t="shared" si="16"/>
        <v>0.62977115773965719</v>
      </c>
      <c r="W88" s="43">
        <f t="shared" si="17"/>
        <v>0.27959868930855153</v>
      </c>
    </row>
    <row r="89" spans="1:29" x14ac:dyDescent="0.2">
      <c r="A89">
        <v>2</v>
      </c>
      <c r="B89">
        <v>17</v>
      </c>
      <c r="C89" s="3" t="s">
        <v>1</v>
      </c>
      <c r="D89" s="21" t="s">
        <v>10</v>
      </c>
      <c r="E89" s="2" t="s">
        <v>15</v>
      </c>
      <c r="F89" s="29">
        <f t="shared" si="20"/>
        <v>9178.7554208198781</v>
      </c>
      <c r="G89" s="29">
        <f t="shared" si="21"/>
        <v>10712.153615885451</v>
      </c>
      <c r="H89" s="28"/>
      <c r="I89" s="7">
        <f t="shared" si="9"/>
        <v>787.84439131423221</v>
      </c>
      <c r="J89" s="7">
        <f t="shared" si="19"/>
        <v>150.81592633729588</v>
      </c>
      <c r="K89" s="6">
        <f t="shared" si="22"/>
        <v>118.38</v>
      </c>
      <c r="L89" s="6">
        <f t="shared" si="22"/>
        <v>118.38</v>
      </c>
      <c r="M89" s="41">
        <f t="shared" si="23"/>
        <v>9.8415842455480004E-2</v>
      </c>
      <c r="N89" s="41">
        <f t="shared" si="24"/>
        <v>0.6</v>
      </c>
      <c r="P89">
        <v>9</v>
      </c>
      <c r="R89">
        <v>1</v>
      </c>
      <c r="S89" s="6">
        <f>commhp</f>
        <v>0.2857142857142857</v>
      </c>
      <c r="U89" s="35" t="str">
        <f t="shared" si="25"/>
        <v>Electricity</v>
      </c>
      <c r="V89" s="43">
        <f t="shared" si="16"/>
        <v>11.650467429879722</v>
      </c>
      <c r="W89" s="43">
        <f t="shared" si="17"/>
        <v>71.027999999999992</v>
      </c>
    </row>
    <row r="90" spans="1:29" x14ac:dyDescent="0.2">
      <c r="A90">
        <v>3</v>
      </c>
      <c r="B90">
        <v>20</v>
      </c>
      <c r="C90" s="3" t="s">
        <v>1</v>
      </c>
      <c r="D90" s="21" t="s">
        <v>10</v>
      </c>
      <c r="E90" s="2" t="s">
        <v>18</v>
      </c>
      <c r="F90" s="29">
        <f t="shared" si="20"/>
        <v>150.87498088473498</v>
      </c>
      <c r="G90" s="29">
        <f t="shared" si="21"/>
        <v>44.928891088124409</v>
      </c>
      <c r="H90" s="28"/>
      <c r="I90" s="7">
        <f t="shared" si="9"/>
        <v>787.84439131423221</v>
      </c>
      <c r="J90" s="7">
        <f t="shared" si="19"/>
        <v>527.85574218053557</v>
      </c>
      <c r="K90" s="6">
        <f t="shared" si="22"/>
        <v>118.38</v>
      </c>
      <c r="L90" s="6">
        <f t="shared" si="22"/>
        <v>118.38</v>
      </c>
      <c r="M90" s="41">
        <f t="shared" si="23"/>
        <v>1.6177017110125065E-3</v>
      </c>
      <c r="N90" s="41">
        <f t="shared" si="24"/>
        <v>7.1900533648857658E-4</v>
      </c>
      <c r="P90">
        <v>9</v>
      </c>
      <c r="R90">
        <v>1</v>
      </c>
      <c r="S90" s="6">
        <f>commeff</f>
        <v>1</v>
      </c>
      <c r="U90" s="35" t="str">
        <f t="shared" si="25"/>
        <v>Heavy Fuel Oil</v>
      </c>
      <c r="V90" s="43">
        <f t="shared" si="16"/>
        <v>0.19150352854966052</v>
      </c>
      <c r="W90" s="43">
        <f t="shared" si="17"/>
        <v>8.5115851733517697E-2</v>
      </c>
    </row>
    <row r="91" spans="1:29" x14ac:dyDescent="0.2">
      <c r="A91">
        <v>4</v>
      </c>
      <c r="B91">
        <v>19</v>
      </c>
      <c r="C91" s="3" t="s">
        <v>1</v>
      </c>
      <c r="D91" s="21" t="s">
        <v>10</v>
      </c>
      <c r="E91" s="2" t="s">
        <v>17</v>
      </c>
      <c r="F91" s="29">
        <f t="shared" si="20"/>
        <v>2207.9406301492095</v>
      </c>
      <c r="G91" s="29">
        <f t="shared" si="21"/>
        <v>657.5001601942563</v>
      </c>
      <c r="H91" s="28"/>
      <c r="I91" s="7">
        <f t="shared" si="9"/>
        <v>787.84439131423221</v>
      </c>
      <c r="J91" s="7">
        <f t="shared" si="19"/>
        <v>527.85574218053557</v>
      </c>
      <c r="K91" s="6">
        <f t="shared" si="22"/>
        <v>118.38</v>
      </c>
      <c r="L91" s="6">
        <f t="shared" si="22"/>
        <v>118.38</v>
      </c>
      <c r="M91" s="41">
        <f t="shared" si="23"/>
        <v>2.3673834550044934E-2</v>
      </c>
      <c r="N91" s="41">
        <f t="shared" si="24"/>
        <v>1.0522096416635584E-2</v>
      </c>
      <c r="P91">
        <v>9</v>
      </c>
      <c r="R91">
        <v>1</v>
      </c>
      <c r="S91" s="6">
        <f>commeff</f>
        <v>1</v>
      </c>
      <c r="U91" s="35" t="str">
        <f t="shared" si="25"/>
        <v>Light Fuel Oil and Kerosene</v>
      </c>
      <c r="V91" s="43">
        <f t="shared" si="16"/>
        <v>2.8025085340343194</v>
      </c>
      <c r="W91" s="43">
        <f t="shared" si="17"/>
        <v>1.2456057738013204</v>
      </c>
    </row>
    <row r="92" spans="1:29" x14ac:dyDescent="0.2">
      <c r="A92">
        <v>5</v>
      </c>
      <c r="B92">
        <v>18</v>
      </c>
      <c r="C92" s="3" t="s">
        <v>1</v>
      </c>
      <c r="D92" s="21" t="s">
        <v>10</v>
      </c>
      <c r="E92" s="2" t="s">
        <v>9</v>
      </c>
      <c r="F92" s="29">
        <f t="shared" si="20"/>
        <v>76515.735192428794</v>
      </c>
      <c r="G92" s="29">
        <f t="shared" si="21"/>
        <v>22785.534837050127</v>
      </c>
      <c r="H92" s="28"/>
      <c r="I92" s="7">
        <f t="shared" si="9"/>
        <v>787.84439131423221</v>
      </c>
      <c r="J92" s="7">
        <f t="shared" si="19"/>
        <v>527.85574218053557</v>
      </c>
      <c r="K92" s="6">
        <f t="shared" si="22"/>
        <v>118.38</v>
      </c>
      <c r="L92" s="6">
        <f t="shared" si="22"/>
        <v>118.38</v>
      </c>
      <c r="M92" s="41">
        <f t="shared" si="23"/>
        <v>0.82041193983472127</v>
      </c>
      <c r="N92" s="41">
        <f t="shared" si="24"/>
        <v>0.3646411194625665</v>
      </c>
      <c r="P92">
        <v>9</v>
      </c>
      <c r="R92">
        <v>1</v>
      </c>
      <c r="S92" s="6">
        <f>commeff</f>
        <v>1</v>
      </c>
      <c r="U92" s="35" t="str">
        <f t="shared" si="25"/>
        <v>Natural Gas</v>
      </c>
      <c r="V92" s="43">
        <f t="shared" si="16"/>
        <v>97.120365437634305</v>
      </c>
      <c r="W92" s="43">
        <f t="shared" si="17"/>
        <v>43.166215721978624</v>
      </c>
    </row>
    <row r="93" spans="1:29" x14ac:dyDescent="0.2">
      <c r="A93">
        <v>6</v>
      </c>
      <c r="B93">
        <v>21</v>
      </c>
      <c r="C93" s="3" t="s">
        <v>1</v>
      </c>
      <c r="D93" s="21" t="s">
        <v>10</v>
      </c>
      <c r="E93" s="2" t="s">
        <v>21</v>
      </c>
      <c r="F93" s="29">
        <f t="shared" si="20"/>
        <v>5211.7128194961897</v>
      </c>
      <c r="G93" s="29">
        <f t="shared" si="21"/>
        <v>1551.9901064883397</v>
      </c>
      <c r="H93" s="28"/>
      <c r="I93" s="7">
        <f t="shared" si="9"/>
        <v>787.84439131423221</v>
      </c>
      <c r="J93" s="7">
        <f t="shared" si="19"/>
        <v>527.85574218053557</v>
      </c>
      <c r="K93" s="6">
        <f t="shared" si="22"/>
        <v>118.38</v>
      </c>
      <c r="L93" s="6">
        <f t="shared" si="22"/>
        <v>118.38</v>
      </c>
      <c r="M93" s="41">
        <f t="shared" si="23"/>
        <v>5.5880681448741247E-2</v>
      </c>
      <c r="N93" s="41">
        <f t="shared" si="24"/>
        <v>2.4836784120797987E-2</v>
      </c>
      <c r="P93">
        <v>9</v>
      </c>
      <c r="R93">
        <v>1</v>
      </c>
      <c r="S93" s="6">
        <f>commeff</f>
        <v>1</v>
      </c>
      <c r="U93" s="35" t="str">
        <f t="shared" si="25"/>
        <v>Other</v>
      </c>
      <c r="V93" s="43">
        <f t="shared" si="16"/>
        <v>6.6151550699019888</v>
      </c>
      <c r="W93" s="43">
        <f t="shared" si="17"/>
        <v>2.9401785042200657</v>
      </c>
    </row>
    <row r="94" spans="1:29" x14ac:dyDescent="0.2">
      <c r="A94">
        <v>2</v>
      </c>
      <c r="B94">
        <v>35</v>
      </c>
      <c r="C94" s="3" t="s">
        <v>2</v>
      </c>
      <c r="D94" s="21" t="s">
        <v>10</v>
      </c>
      <c r="E94" s="2" t="s">
        <v>15</v>
      </c>
      <c r="F94" s="29">
        <f t="shared" si="20"/>
        <v>2420.6152979204066</v>
      </c>
      <c r="G94" s="29">
        <f t="shared" si="21"/>
        <v>2973.6057794778071</v>
      </c>
      <c r="H94" s="28"/>
      <c r="I94" s="7">
        <f t="shared" si="9"/>
        <v>788.25732955516162</v>
      </c>
      <c r="J94" s="7">
        <f t="shared" si="19"/>
        <v>150.89497451484522</v>
      </c>
      <c r="K94" s="6">
        <f t="shared" si="22"/>
        <v>32.844099999999898</v>
      </c>
      <c r="L94" s="6">
        <f t="shared" si="22"/>
        <v>32.844099999999898</v>
      </c>
      <c r="M94" s="41">
        <f t="shared" si="23"/>
        <v>9.3497584311345167E-2</v>
      </c>
      <c r="N94" s="41">
        <f t="shared" si="24"/>
        <v>0.6</v>
      </c>
      <c r="P94">
        <v>10</v>
      </c>
      <c r="R94">
        <v>1</v>
      </c>
      <c r="S94" s="6">
        <f>commhp</f>
        <v>0.2857142857142857</v>
      </c>
      <c r="U94" s="35" t="str">
        <f t="shared" si="25"/>
        <v>Electricity</v>
      </c>
      <c r="V94" s="43">
        <f t="shared" si="16"/>
        <v>3.0708440088802424</v>
      </c>
      <c r="W94" s="43">
        <f t="shared" si="17"/>
        <v>19.706459999999939</v>
      </c>
    </row>
    <row r="95" spans="1:29" x14ac:dyDescent="0.2">
      <c r="A95">
        <v>3</v>
      </c>
      <c r="B95">
        <v>38</v>
      </c>
      <c r="C95" s="3" t="s">
        <v>2</v>
      </c>
      <c r="D95" s="21" t="s">
        <v>10</v>
      </c>
      <c r="E95" s="2" t="s">
        <v>18</v>
      </c>
      <c r="F95" s="29">
        <f t="shared" si="20"/>
        <v>43.652009644554944</v>
      </c>
      <c r="G95" s="29">
        <f t="shared" si="21"/>
        <v>12.929406949840423</v>
      </c>
      <c r="H95" s="28"/>
      <c r="I95" s="7">
        <f t="shared" si="9"/>
        <v>788.25732955516162</v>
      </c>
      <c r="J95" s="7">
        <f t="shared" si="19"/>
        <v>528.13241080195826</v>
      </c>
      <c r="K95" s="6">
        <f t="shared" si="22"/>
        <v>32.844099999999898</v>
      </c>
      <c r="L95" s="6">
        <f t="shared" si="22"/>
        <v>32.844099999999898</v>
      </c>
      <c r="M95" s="41">
        <f t="shared" si="23"/>
        <v>1.686082648328214E-3</v>
      </c>
      <c r="N95" s="41">
        <f t="shared" si="24"/>
        <v>7.4538117262437512E-4</v>
      </c>
      <c r="P95">
        <v>10</v>
      </c>
      <c r="R95">
        <v>1</v>
      </c>
      <c r="S95" s="6">
        <f>commeff</f>
        <v>1</v>
      </c>
      <c r="U95" s="35" t="str">
        <f t="shared" si="25"/>
        <v>Heavy Fuel Oil</v>
      </c>
      <c r="V95" s="43">
        <f t="shared" si="16"/>
        <v>5.537786710995652E-2</v>
      </c>
      <c r="W95" s="43">
        <f t="shared" si="17"/>
        <v>2.4481373771792162E-2</v>
      </c>
      <c r="X95" s="40" t="s">
        <v>49</v>
      </c>
      <c r="Y95" s="35"/>
      <c r="Z95" s="35"/>
      <c r="AA95" s="35"/>
      <c r="AB95" s="35"/>
      <c r="AC95" s="35"/>
    </row>
    <row r="96" spans="1:29" x14ac:dyDescent="0.2">
      <c r="A96">
        <v>4</v>
      </c>
      <c r="B96">
        <v>37</v>
      </c>
      <c r="C96" s="3" t="s">
        <v>2</v>
      </c>
      <c r="D96" s="21" t="s">
        <v>10</v>
      </c>
      <c r="E96" s="2" t="s">
        <v>17</v>
      </c>
      <c r="F96" s="29">
        <f t="shared" si="20"/>
        <v>606.03979535575934</v>
      </c>
      <c r="G96" s="29">
        <f t="shared" si="21"/>
        <v>179.50456819185723</v>
      </c>
      <c r="H96" s="28"/>
      <c r="I96" s="7">
        <f t="shared" si="9"/>
        <v>788.25732955516162</v>
      </c>
      <c r="J96" s="7">
        <f t="shared" si="19"/>
        <v>528.13241080195826</v>
      </c>
      <c r="K96" s="6">
        <f t="shared" si="22"/>
        <v>32.844099999999898</v>
      </c>
      <c r="L96" s="6">
        <f t="shared" si="22"/>
        <v>32.844099999999898</v>
      </c>
      <c r="M96" s="41">
        <f t="shared" si="23"/>
        <v>2.3408617185467627E-2</v>
      </c>
      <c r="N96" s="41">
        <f t="shared" si="24"/>
        <v>1.0348450323309687E-2</v>
      </c>
      <c r="P96">
        <v>10</v>
      </c>
      <c r="R96">
        <v>1</v>
      </c>
      <c r="S96" s="6">
        <f>commeff</f>
        <v>1</v>
      </c>
      <c r="U96" s="35" t="str">
        <f t="shared" si="25"/>
        <v>Light Fuel Oil and Kerosene</v>
      </c>
      <c r="V96" s="43">
        <f t="shared" si="16"/>
        <v>0.76883496370121485</v>
      </c>
      <c r="W96" s="43">
        <f t="shared" si="17"/>
        <v>0.3398855372638146</v>
      </c>
      <c r="X96" s="40" t="s">
        <v>48</v>
      </c>
      <c r="Y96" s="40" t="s">
        <v>46</v>
      </c>
      <c r="Z96" s="40" t="s">
        <v>47</v>
      </c>
      <c r="AA96" s="35"/>
      <c r="AB96" s="40" t="s">
        <v>46</v>
      </c>
      <c r="AC96" s="40" t="s">
        <v>47</v>
      </c>
    </row>
    <row r="97" spans="1:29" x14ac:dyDescent="0.2">
      <c r="A97">
        <v>5</v>
      </c>
      <c r="B97">
        <v>36</v>
      </c>
      <c r="C97" s="3" t="s">
        <v>2</v>
      </c>
      <c r="D97" s="21" t="s">
        <v>10</v>
      </c>
      <c r="E97" s="2" t="s">
        <v>9</v>
      </c>
      <c r="F97" s="29">
        <f t="shared" si="20"/>
        <v>21364.557285498973</v>
      </c>
      <c r="G97" s="29">
        <f t="shared" si="21"/>
        <v>6328.0260793640391</v>
      </c>
      <c r="H97" s="28"/>
      <c r="I97" s="7">
        <f t="shared" si="9"/>
        <v>788.25732955516162</v>
      </c>
      <c r="J97" s="7">
        <f t="shared" si="19"/>
        <v>528.13241080195826</v>
      </c>
      <c r="K97" s="6">
        <f t="shared" si="22"/>
        <v>32.844099999999898</v>
      </c>
      <c r="L97" s="6">
        <f t="shared" si="22"/>
        <v>32.844099999999898</v>
      </c>
      <c r="M97" s="41">
        <f t="shared" si="23"/>
        <v>0.82521766172081157</v>
      </c>
      <c r="N97" s="41">
        <f t="shared" si="24"/>
        <v>0.36481112534648852</v>
      </c>
      <c r="P97">
        <v>10</v>
      </c>
      <c r="R97">
        <v>1</v>
      </c>
      <c r="S97" s="6">
        <f>commeff</f>
        <v>1</v>
      </c>
      <c r="U97" s="35" t="str">
        <f t="shared" si="25"/>
        <v>Natural Gas</v>
      </c>
      <c r="V97" s="43">
        <f t="shared" si="16"/>
        <v>27.103531403324421</v>
      </c>
      <c r="W97" s="43">
        <f t="shared" si="17"/>
        <v>11.981893081992567</v>
      </c>
      <c r="X97" s="37" t="s">
        <v>15</v>
      </c>
      <c r="Y97" s="36">
        <f t="shared" ref="Y97:Z101" si="26">SUMIFS(V$54:V$103,$U$54:$U$103,$X97)</f>
        <v>75.549621461240605</v>
      </c>
      <c r="Z97" s="36">
        <f t="shared" si="26"/>
        <v>452.50211999999914</v>
      </c>
      <c r="AA97" s="35"/>
      <c r="AB97" s="38">
        <f t="shared" ref="AB97:AC102" si="27">Y97/Y$102</f>
        <v>0.10017582431822519</v>
      </c>
      <c r="AC97" s="38">
        <f t="shared" si="27"/>
        <v>0.59960563596682204</v>
      </c>
    </row>
    <row r="98" spans="1:29" x14ac:dyDescent="0.2">
      <c r="A98">
        <v>6</v>
      </c>
      <c r="B98">
        <v>39</v>
      </c>
      <c r="C98" s="3" t="s">
        <v>2</v>
      </c>
      <c r="D98" s="21" t="s">
        <v>10</v>
      </c>
      <c r="E98" s="2" t="s">
        <v>21</v>
      </c>
      <c r="F98" s="29">
        <f t="shared" si="20"/>
        <v>1454.7381692229083</v>
      </c>
      <c r="G98" s="29">
        <f t="shared" si="21"/>
        <v>430.88283789232105</v>
      </c>
      <c r="H98" s="28"/>
      <c r="I98" s="7">
        <f t="shared" si="9"/>
        <v>788.25732955516162</v>
      </c>
      <c r="J98" s="7">
        <f t="shared" si="19"/>
        <v>528.13241080195826</v>
      </c>
      <c r="K98" s="6">
        <f t="shared" si="22"/>
        <v>32.844099999999898</v>
      </c>
      <c r="L98" s="6">
        <f t="shared" si="22"/>
        <v>32.844099999999898</v>
      </c>
      <c r="M98" s="41">
        <f t="shared" si="23"/>
        <v>5.6190054134047332E-2</v>
      </c>
      <c r="N98" s="41">
        <f t="shared" si="24"/>
        <v>2.4840424330201838E-2</v>
      </c>
      <c r="P98">
        <v>10</v>
      </c>
      <c r="R98">
        <v>1</v>
      </c>
      <c r="S98" s="6">
        <f>commeff</f>
        <v>1</v>
      </c>
      <c r="U98" s="35" t="str">
        <f t="shared" si="25"/>
        <v>Other</v>
      </c>
      <c r="V98" s="43">
        <f t="shared" si="16"/>
        <v>1.8455117569840582</v>
      </c>
      <c r="W98" s="43">
        <f t="shared" si="17"/>
        <v>0.81586138074357961</v>
      </c>
      <c r="X98" s="37" t="s">
        <v>18</v>
      </c>
      <c r="Y98" s="36">
        <f t="shared" si="26"/>
        <v>1.1121816435019609</v>
      </c>
      <c r="Z98" s="36">
        <f t="shared" si="26"/>
        <v>0.49602202503477527</v>
      </c>
      <c r="AA98" s="35"/>
      <c r="AB98" s="38">
        <f t="shared" si="27"/>
        <v>1.4747090822495549E-3</v>
      </c>
      <c r="AC98" s="38">
        <f t="shared" si="27"/>
        <v>6.5727338862971055E-4</v>
      </c>
    </row>
    <row r="99" spans="1:29" x14ac:dyDescent="0.2">
      <c r="A99">
        <v>2</v>
      </c>
      <c r="B99">
        <v>1</v>
      </c>
      <c r="C99" s="3" t="s">
        <v>0</v>
      </c>
      <c r="D99" s="21" t="s">
        <v>10</v>
      </c>
      <c r="E99" s="2" t="s">
        <v>15</v>
      </c>
      <c r="F99" s="29">
        <f t="shared" si="20"/>
        <v>3148.04715833826</v>
      </c>
      <c r="G99" s="29">
        <f t="shared" si="21"/>
        <v>3731.4354783161407</v>
      </c>
      <c r="H99" s="28"/>
      <c r="I99" s="7">
        <f t="shared" si="9"/>
        <v>720.53331626271279</v>
      </c>
      <c r="J99" s="7">
        <f t="shared" si="19"/>
        <v>137.93066339886215</v>
      </c>
      <c r="K99" s="6">
        <f t="shared" si="22"/>
        <v>45.088299999999897</v>
      </c>
      <c r="L99" s="6">
        <f t="shared" si="22"/>
        <v>45.088299999999897</v>
      </c>
      <c r="M99" s="41">
        <f t="shared" si="23"/>
        <v>9.6899893965055467E-2</v>
      </c>
      <c r="N99" s="41">
        <f t="shared" si="24"/>
        <v>0.6</v>
      </c>
      <c r="P99">
        <v>11</v>
      </c>
      <c r="R99">
        <v>1</v>
      </c>
      <c r="S99" s="6">
        <f>commhp</f>
        <v>0.2857142857142857</v>
      </c>
      <c r="U99" s="35" t="str">
        <f t="shared" si="25"/>
        <v>Electricity</v>
      </c>
      <c r="V99" s="43">
        <f t="shared" si="16"/>
        <v>4.3690514890646002</v>
      </c>
      <c r="W99" s="43">
        <f t="shared" si="17"/>
        <v>27.052979999999938</v>
      </c>
      <c r="X99" s="37" t="s">
        <v>17</v>
      </c>
      <c r="Y99" s="36">
        <f t="shared" si="26"/>
        <v>27.668518721432477</v>
      </c>
      <c r="Z99" s="36">
        <f t="shared" si="26"/>
        <v>12.325933373006416</v>
      </c>
      <c r="AA99" s="35"/>
      <c r="AB99" s="38">
        <f t="shared" si="27"/>
        <v>3.6687366752800009E-2</v>
      </c>
      <c r="AC99" s="38">
        <f t="shared" si="27"/>
        <v>1.6332960205813405E-2</v>
      </c>
    </row>
    <row r="100" spans="1:29" x14ac:dyDescent="0.2">
      <c r="A100">
        <v>3</v>
      </c>
      <c r="B100">
        <v>4</v>
      </c>
      <c r="C100" s="3" t="s">
        <v>0</v>
      </c>
      <c r="D100" s="21" t="s">
        <v>10</v>
      </c>
      <c r="E100" s="2" t="s">
        <v>18</v>
      </c>
      <c r="F100" s="29">
        <f t="shared" si="20"/>
        <v>49.608889183337006</v>
      </c>
      <c r="G100" s="29">
        <f t="shared" si="21"/>
        <v>14.746649321865441</v>
      </c>
      <c r="H100" s="28"/>
      <c r="I100" s="7">
        <f t="shared" ref="I100:I153" si="28">VLOOKUP($D100,cint2019,$P100)*R100</f>
        <v>720.53331626271279</v>
      </c>
      <c r="J100" s="7">
        <f t="shared" ref="J100:J131" si="29">VLOOKUP($D100,cint2030,$P100)*S100</f>
        <v>482.75732189601752</v>
      </c>
      <c r="K100" s="6">
        <f t="shared" si="22"/>
        <v>45.088299999999897</v>
      </c>
      <c r="L100" s="6">
        <f t="shared" si="22"/>
        <v>45.088299999999897</v>
      </c>
      <c r="M100" s="41">
        <f t="shared" si="23"/>
        <v>1.5270089232484797E-3</v>
      </c>
      <c r="N100" s="41">
        <f t="shared" si="24"/>
        <v>6.7748646366687154E-4</v>
      </c>
      <c r="P100">
        <v>11</v>
      </c>
      <c r="R100">
        <v>1</v>
      </c>
      <c r="S100" s="6">
        <f>commeff</f>
        <v>1</v>
      </c>
      <c r="U100" s="35" t="str">
        <f t="shared" si="25"/>
        <v>Heavy Fuel Oil</v>
      </c>
      <c r="V100" s="43">
        <f t="shared" si="16"/>
        <v>6.8850236434104276E-2</v>
      </c>
      <c r="W100" s="43">
        <f t="shared" si="17"/>
        <v>3.0546712919750935E-2</v>
      </c>
      <c r="X100" s="37" t="s">
        <v>9</v>
      </c>
      <c r="Y100" s="36">
        <f t="shared" si="26"/>
        <v>610.43566463217735</v>
      </c>
      <c r="Z100" s="36">
        <f t="shared" si="26"/>
        <v>271.80500321569173</v>
      </c>
      <c r="AA100" s="35"/>
      <c r="AB100" s="38">
        <f t="shared" si="27"/>
        <v>0.80941366369577927</v>
      </c>
      <c r="AC100" s="38">
        <f t="shared" si="27"/>
        <v>0.36016585250939659</v>
      </c>
    </row>
    <row r="101" spans="1:29" x14ac:dyDescent="0.2">
      <c r="A101">
        <v>4</v>
      </c>
      <c r="B101">
        <v>3</v>
      </c>
      <c r="C101" s="3" t="s">
        <v>0</v>
      </c>
      <c r="D101" s="21" t="s">
        <v>10</v>
      </c>
      <c r="E101" s="2" t="s">
        <v>17</v>
      </c>
      <c r="F101" s="29">
        <f t="shared" si="20"/>
        <v>638.23303012123006</v>
      </c>
      <c r="G101" s="29">
        <f t="shared" si="21"/>
        <v>189.72000453480553</v>
      </c>
      <c r="H101" s="28"/>
      <c r="I101" s="7">
        <f t="shared" si="28"/>
        <v>720.53331626271279</v>
      </c>
      <c r="J101" s="7">
        <f t="shared" si="29"/>
        <v>482.75732189601752</v>
      </c>
      <c r="K101" s="6">
        <f t="shared" si="22"/>
        <v>45.088299999999897</v>
      </c>
      <c r="L101" s="6">
        <f t="shared" si="22"/>
        <v>45.088299999999897</v>
      </c>
      <c r="M101" s="41">
        <f t="shared" si="23"/>
        <v>1.964542137811837E-2</v>
      </c>
      <c r="N101" s="41">
        <f t="shared" si="24"/>
        <v>8.7160637073377522E-3</v>
      </c>
      <c r="P101">
        <v>11</v>
      </c>
      <c r="R101">
        <v>1</v>
      </c>
      <c r="S101" s="6">
        <f>commeff</f>
        <v>1</v>
      </c>
      <c r="U101" s="35" t="str">
        <f t="shared" si="25"/>
        <v>Light Fuel Oil and Kerosene</v>
      </c>
      <c r="V101" s="43">
        <f t="shared" si="16"/>
        <v>0.88577865272301248</v>
      </c>
      <c r="W101" s="43">
        <f t="shared" si="17"/>
        <v>0.39299249525555585</v>
      </c>
      <c r="X101" s="37" t="s">
        <v>21</v>
      </c>
      <c r="Y101" s="36">
        <f t="shared" si="26"/>
        <v>39.404213541646044</v>
      </c>
      <c r="Z101" s="36">
        <f t="shared" si="26"/>
        <v>17.537143411301351</v>
      </c>
      <c r="AA101" s="35"/>
      <c r="AB101" s="38">
        <f t="shared" si="27"/>
        <v>5.2248436150945932E-2</v>
      </c>
      <c r="AC101" s="38">
        <f t="shared" si="27"/>
        <v>2.3238277929338167E-2</v>
      </c>
    </row>
    <row r="102" spans="1:29" x14ac:dyDescent="0.2">
      <c r="A102">
        <v>5</v>
      </c>
      <c r="B102">
        <v>2</v>
      </c>
      <c r="C102" s="3" t="s">
        <v>0</v>
      </c>
      <c r="D102" s="21" t="s">
        <v>10</v>
      </c>
      <c r="E102" s="2" t="s">
        <v>9</v>
      </c>
      <c r="F102" s="29">
        <f t="shared" si="20"/>
        <v>26894.904388785304</v>
      </c>
      <c r="G102" s="29">
        <f t="shared" si="21"/>
        <v>7994.7309866339992</v>
      </c>
      <c r="H102" s="28"/>
      <c r="I102" s="7">
        <f t="shared" si="28"/>
        <v>720.53331626271279</v>
      </c>
      <c r="J102" s="7">
        <f t="shared" si="29"/>
        <v>482.75732189601752</v>
      </c>
      <c r="K102" s="6">
        <f t="shared" si="22"/>
        <v>45.088299999999897</v>
      </c>
      <c r="L102" s="6">
        <f t="shared" si="22"/>
        <v>45.088299999999897</v>
      </c>
      <c r="M102" s="41">
        <f t="shared" si="23"/>
        <v>0.82785080794319277</v>
      </c>
      <c r="N102" s="41">
        <f t="shared" si="24"/>
        <v>0.36729170850164805</v>
      </c>
      <c r="P102">
        <v>11</v>
      </c>
      <c r="R102">
        <v>1</v>
      </c>
      <c r="S102" s="6">
        <f>commeff</f>
        <v>1</v>
      </c>
      <c r="U102" s="35" t="str">
        <f t="shared" si="25"/>
        <v>Natural Gas</v>
      </c>
      <c r="V102" s="43">
        <f t="shared" si="16"/>
        <v>37.326385583784976</v>
      </c>
      <c r="W102" s="43">
        <f t="shared" si="17"/>
        <v>16.560558740434821</v>
      </c>
      <c r="X102" s="39" t="s">
        <v>40</v>
      </c>
      <c r="Y102" s="36">
        <f>SUM(Y97:Y101)</f>
        <v>754.17019999999843</v>
      </c>
      <c r="Z102" s="36">
        <f>SUM(Z97:Z101)</f>
        <v>754.66622202503345</v>
      </c>
      <c r="AA102" s="35"/>
      <c r="AB102" s="38">
        <f t="shared" si="27"/>
        <v>1</v>
      </c>
      <c r="AC102" s="38">
        <f t="shared" si="27"/>
        <v>1</v>
      </c>
    </row>
    <row r="103" spans="1:29" x14ac:dyDescent="0.2">
      <c r="A103">
        <v>6</v>
      </c>
      <c r="B103">
        <v>5</v>
      </c>
      <c r="C103" s="3" t="s">
        <v>0</v>
      </c>
      <c r="D103" s="21" t="s">
        <v>10</v>
      </c>
      <c r="E103" s="2" t="s">
        <v>21</v>
      </c>
      <c r="F103" s="29">
        <f t="shared" si="20"/>
        <v>1756.8288572198701</v>
      </c>
      <c r="G103" s="29">
        <f t="shared" si="21"/>
        <v>522.23179156885817</v>
      </c>
      <c r="H103" s="28"/>
      <c r="I103" s="7">
        <f t="shared" si="28"/>
        <v>720.53331626271279</v>
      </c>
      <c r="J103" s="7">
        <f t="shared" si="29"/>
        <v>482.75732189601752</v>
      </c>
      <c r="K103" s="6">
        <f t="shared" si="22"/>
        <v>45.088299999999897</v>
      </c>
      <c r="L103" s="6">
        <f t="shared" si="22"/>
        <v>45.088299999999897</v>
      </c>
      <c r="M103" s="41">
        <f t="shared" si="23"/>
        <v>5.4076867790384904E-2</v>
      </c>
      <c r="N103" s="41">
        <f t="shared" si="24"/>
        <v>2.3992227791014183E-2</v>
      </c>
      <c r="P103">
        <v>11</v>
      </c>
      <c r="R103">
        <v>1</v>
      </c>
      <c r="S103" s="6">
        <f>commeff</f>
        <v>1</v>
      </c>
      <c r="U103" s="35" t="str">
        <f t="shared" si="25"/>
        <v>Other</v>
      </c>
      <c r="V103" s="43">
        <f t="shared" si="16"/>
        <v>2.4382340379932059</v>
      </c>
      <c r="W103" s="43">
        <f t="shared" si="17"/>
        <v>1.0817687643095824</v>
      </c>
    </row>
    <row r="104" spans="1:29" x14ac:dyDescent="0.2">
      <c r="A104">
        <v>2</v>
      </c>
      <c r="B104">
        <v>138</v>
      </c>
      <c r="C104" s="3" t="s">
        <v>7</v>
      </c>
      <c r="D104" s="20" t="s">
        <v>14</v>
      </c>
      <c r="E104" s="2" t="s">
        <v>15</v>
      </c>
      <c r="F104" s="29">
        <f t="shared" si="20"/>
        <v>349.13527667818141</v>
      </c>
      <c r="G104" s="29">
        <f t="shared" si="21"/>
        <v>99.752936193766104</v>
      </c>
      <c r="H104" s="28"/>
      <c r="I104" s="7">
        <f t="shared" si="28"/>
        <v>160.82630857758801</v>
      </c>
      <c r="J104" s="7">
        <f t="shared" si="29"/>
        <v>45.95037387931086</v>
      </c>
      <c r="K104" s="6">
        <f t="shared" ref="K104:L123" si="30">VLOOKUP($C104,cfloorarea,K$1)</f>
        <v>40.149699999999903</v>
      </c>
      <c r="L104" s="6">
        <f t="shared" si="30"/>
        <v>40.149699999999903</v>
      </c>
      <c r="M104" s="42">
        <f t="shared" ref="M104:M135" si="31">HLOOKUP($C104,whsh19,$A104)</f>
        <v>5.4069746555189598E-2</v>
      </c>
      <c r="N104" s="42">
        <f t="shared" ref="N104:N135" si="32">HLOOKUP($C104,whshint,$A104)</f>
        <v>5.4069746555189598E-2</v>
      </c>
      <c r="P104">
        <v>2</v>
      </c>
      <c r="R104">
        <v>1</v>
      </c>
      <c r="S104" s="6">
        <f>commhp</f>
        <v>0.2857142857142857</v>
      </c>
      <c r="U104" s="35" t="str">
        <f t="shared" si="25"/>
        <v>Electricity</v>
      </c>
      <c r="V104" s="43">
        <f t="shared" si="16"/>
        <v>2.1708841032668906</v>
      </c>
      <c r="W104" s="43">
        <f t="shared" si="17"/>
        <v>2.1708841032668906</v>
      </c>
    </row>
    <row r="105" spans="1:29" x14ac:dyDescent="0.2">
      <c r="A105">
        <v>3</v>
      </c>
      <c r="B105">
        <v>141</v>
      </c>
      <c r="C105" s="3" t="s">
        <v>7</v>
      </c>
      <c r="D105" s="20" t="s">
        <v>14</v>
      </c>
      <c r="E105" s="2" t="s">
        <v>18</v>
      </c>
      <c r="F105" s="29">
        <f t="shared" si="20"/>
        <v>19.370889310902232</v>
      </c>
      <c r="G105" s="29">
        <f t="shared" si="21"/>
        <v>19.432517600582145</v>
      </c>
      <c r="H105" s="28"/>
      <c r="I105" s="7">
        <f t="shared" si="28"/>
        <v>160.82630857758801</v>
      </c>
      <c r="J105" s="7">
        <f t="shared" si="29"/>
        <v>160.82630857758801</v>
      </c>
      <c r="K105" s="6">
        <f t="shared" si="30"/>
        <v>40.149699999999903</v>
      </c>
      <c r="L105" s="6">
        <f t="shared" si="30"/>
        <v>40.149699999999903</v>
      </c>
      <c r="M105" s="42">
        <f t="shared" si="31"/>
        <v>2.99992336940087E-3</v>
      </c>
      <c r="N105" s="42">
        <f t="shared" si="32"/>
        <v>3.0094675954536682E-3</v>
      </c>
      <c r="P105">
        <v>2</v>
      </c>
      <c r="R105">
        <v>1</v>
      </c>
      <c r="S105" s="6">
        <f>commeff</f>
        <v>1</v>
      </c>
      <c r="U105" s="35" t="str">
        <f t="shared" si="25"/>
        <v>Heavy Fuel Oil</v>
      </c>
      <c r="V105" s="43">
        <f t="shared" si="16"/>
        <v>0.12044602330443382</v>
      </c>
      <c r="W105" s="43">
        <f t="shared" si="17"/>
        <v>0.12082922111718584</v>
      </c>
    </row>
    <row r="106" spans="1:29" x14ac:dyDescent="0.2">
      <c r="A106">
        <v>4</v>
      </c>
      <c r="B106">
        <v>140</v>
      </c>
      <c r="C106" s="3" t="s">
        <v>7</v>
      </c>
      <c r="D106" s="20" t="s">
        <v>14</v>
      </c>
      <c r="E106" s="2" t="s">
        <v>17</v>
      </c>
      <c r="F106" s="29">
        <f t="shared" si="20"/>
        <v>489.75036634561104</v>
      </c>
      <c r="G106" s="29">
        <f t="shared" si="21"/>
        <v>491.30850221452056</v>
      </c>
      <c r="H106" s="28"/>
      <c r="I106" s="7">
        <f t="shared" si="28"/>
        <v>160.82630857758801</v>
      </c>
      <c r="J106" s="7">
        <f t="shared" si="29"/>
        <v>160.82630857758801</v>
      </c>
      <c r="K106" s="6">
        <f t="shared" si="30"/>
        <v>40.149699999999903</v>
      </c>
      <c r="L106" s="6">
        <f t="shared" si="30"/>
        <v>40.149699999999903</v>
      </c>
      <c r="M106" s="42">
        <f t="shared" si="31"/>
        <v>7.5846469699557897E-2</v>
      </c>
      <c r="N106" s="42">
        <f t="shared" si="32"/>
        <v>7.6087774480707651E-2</v>
      </c>
      <c r="P106">
        <v>2</v>
      </c>
      <c r="R106">
        <v>1</v>
      </c>
      <c r="S106" s="6">
        <f>commeff</f>
        <v>1</v>
      </c>
      <c r="U106" s="35" t="str">
        <f t="shared" si="25"/>
        <v>Light Fuel Oil and Kerosene</v>
      </c>
      <c r="V106" s="43">
        <f t="shared" si="16"/>
        <v>3.0452130044963326</v>
      </c>
      <c r="W106" s="43">
        <f t="shared" si="17"/>
        <v>3.0549013190680605</v>
      </c>
    </row>
    <row r="107" spans="1:29" x14ac:dyDescent="0.2">
      <c r="A107">
        <v>5</v>
      </c>
      <c r="B107">
        <v>139</v>
      </c>
      <c r="C107" s="3" t="s">
        <v>7</v>
      </c>
      <c r="D107" s="20" t="s">
        <v>14</v>
      </c>
      <c r="E107" s="2" t="s">
        <v>9</v>
      </c>
      <c r="F107" s="29">
        <f t="shared" si="20"/>
        <v>5360.9586429937126</v>
      </c>
      <c r="G107" s="29">
        <f t="shared" si="21"/>
        <v>5378.0144790428358</v>
      </c>
      <c r="H107" s="28"/>
      <c r="I107" s="7">
        <f t="shared" si="28"/>
        <v>160.82630857758801</v>
      </c>
      <c r="J107" s="7">
        <f t="shared" si="29"/>
        <v>160.82630857758801</v>
      </c>
      <c r="K107" s="6">
        <f t="shared" si="30"/>
        <v>40.149699999999903</v>
      </c>
      <c r="L107" s="6">
        <f t="shared" si="30"/>
        <v>40.149699999999903</v>
      </c>
      <c r="M107" s="42">
        <f t="shared" si="31"/>
        <v>0.83023886293423599</v>
      </c>
      <c r="N107" s="42">
        <f t="shared" si="32"/>
        <v>0.83288025953339151</v>
      </c>
      <c r="P107">
        <v>2</v>
      </c>
      <c r="R107">
        <v>1</v>
      </c>
      <c r="S107" s="6">
        <f>commeff</f>
        <v>1</v>
      </c>
      <c r="U107" s="35" t="str">
        <f t="shared" si="25"/>
        <v>Natural Gas</v>
      </c>
      <c r="V107" s="43">
        <f t="shared" si="16"/>
        <v>33.333841275150611</v>
      </c>
      <c r="W107" s="43">
        <f t="shared" si="17"/>
        <v>33.439892556187729</v>
      </c>
    </row>
    <row r="108" spans="1:29" x14ac:dyDescent="0.2">
      <c r="A108">
        <v>6</v>
      </c>
      <c r="B108">
        <v>142</v>
      </c>
      <c r="C108" s="3" t="s">
        <v>7</v>
      </c>
      <c r="D108" s="20" t="s">
        <v>14</v>
      </c>
      <c r="E108" s="2" t="s">
        <v>21</v>
      </c>
      <c r="F108" s="29">
        <f t="shared" si="20"/>
        <v>237.91286616915843</v>
      </c>
      <c r="G108" s="29">
        <f t="shared" si="21"/>
        <v>238.66978356203208</v>
      </c>
      <c r="H108" s="28"/>
      <c r="I108" s="7">
        <f t="shared" si="28"/>
        <v>160.82630857758801</v>
      </c>
      <c r="J108" s="7">
        <f t="shared" si="29"/>
        <v>160.82630857758801</v>
      </c>
      <c r="K108" s="6">
        <f t="shared" si="30"/>
        <v>40.149699999999903</v>
      </c>
      <c r="L108" s="6">
        <f t="shared" si="30"/>
        <v>40.149699999999903</v>
      </c>
      <c r="M108" s="42">
        <f t="shared" si="31"/>
        <v>3.6844997441614999E-2</v>
      </c>
      <c r="N108" s="42">
        <f t="shared" si="32"/>
        <v>3.696221943071127E-2</v>
      </c>
      <c r="P108">
        <v>2</v>
      </c>
      <c r="R108">
        <v>1</v>
      </c>
      <c r="S108" s="6">
        <f>commeff</f>
        <v>1</v>
      </c>
      <c r="U108" s="35" t="str">
        <f t="shared" si="25"/>
        <v>Other</v>
      </c>
      <c r="V108" s="43">
        <f t="shared" si="16"/>
        <v>1.4793155937816063</v>
      </c>
      <c r="W108" s="43">
        <f t="shared" si="17"/>
        <v>1.4840220214772246</v>
      </c>
    </row>
    <row r="109" spans="1:29" x14ac:dyDescent="0.2">
      <c r="A109">
        <v>2</v>
      </c>
      <c r="B109">
        <v>122</v>
      </c>
      <c r="C109" s="3" t="s">
        <v>6</v>
      </c>
      <c r="D109" s="20" t="s">
        <v>14</v>
      </c>
      <c r="E109" s="2" t="s">
        <v>15</v>
      </c>
      <c r="F109" s="29">
        <f t="shared" si="20"/>
        <v>85.951227065786142</v>
      </c>
      <c r="G109" s="29">
        <f t="shared" si="21"/>
        <v>272.50906481281197</v>
      </c>
      <c r="H109" s="28"/>
      <c r="I109" s="7">
        <f t="shared" si="28"/>
        <v>89.106167748969725</v>
      </c>
      <c r="J109" s="7">
        <f t="shared" si="29"/>
        <v>25.458905071134204</v>
      </c>
      <c r="K109" s="6">
        <f t="shared" si="30"/>
        <v>17.8398</v>
      </c>
      <c r="L109" s="6">
        <f t="shared" si="30"/>
        <v>17.8398</v>
      </c>
      <c r="M109" s="42">
        <f t="shared" si="31"/>
        <v>5.4069746555189598E-2</v>
      </c>
      <c r="N109" s="42">
        <f t="shared" si="32"/>
        <v>0.6</v>
      </c>
      <c r="P109">
        <v>3</v>
      </c>
      <c r="R109">
        <v>1</v>
      </c>
      <c r="S109" s="6">
        <f>commhp</f>
        <v>0.2857142857142857</v>
      </c>
      <c r="U109" s="35" t="str">
        <f t="shared" si="25"/>
        <v>Electricity</v>
      </c>
      <c r="V109" s="43">
        <f t="shared" si="16"/>
        <v>0.9645934645952714</v>
      </c>
      <c r="W109" s="43">
        <f t="shared" si="17"/>
        <v>10.70388</v>
      </c>
    </row>
    <row r="110" spans="1:29" x14ac:dyDescent="0.2">
      <c r="A110">
        <v>3</v>
      </c>
      <c r="B110">
        <v>125</v>
      </c>
      <c r="C110" s="3" t="s">
        <v>6</v>
      </c>
      <c r="D110" s="20" t="s">
        <v>14</v>
      </c>
      <c r="E110" s="2" t="s">
        <v>18</v>
      </c>
      <c r="F110" s="29">
        <f t="shared" si="20"/>
        <v>4.7687868194489313</v>
      </c>
      <c r="G110" s="29">
        <f t="shared" si="21"/>
        <v>2.0229646527830143</v>
      </c>
      <c r="H110" s="28"/>
      <c r="I110" s="7">
        <f t="shared" si="28"/>
        <v>89.106167748969725</v>
      </c>
      <c r="J110" s="7">
        <f t="shared" si="29"/>
        <v>89.106167748969725</v>
      </c>
      <c r="K110" s="6">
        <f t="shared" si="30"/>
        <v>17.8398</v>
      </c>
      <c r="L110" s="6">
        <f t="shared" si="30"/>
        <v>17.8398</v>
      </c>
      <c r="M110" s="42">
        <f t="shared" si="31"/>
        <v>2.99992336940087E-3</v>
      </c>
      <c r="N110" s="42">
        <f t="shared" si="32"/>
        <v>1.2725959803036382E-3</v>
      </c>
      <c r="P110">
        <v>3</v>
      </c>
      <c r="R110">
        <v>1</v>
      </c>
      <c r="S110" s="6">
        <f>commeff</f>
        <v>1</v>
      </c>
      <c r="U110" s="35" t="str">
        <f t="shared" si="25"/>
        <v>Heavy Fuel Oil</v>
      </c>
      <c r="V110" s="43">
        <f t="shared" si="16"/>
        <v>5.3518032925437643E-2</v>
      </c>
      <c r="W110" s="43">
        <f t="shared" si="17"/>
        <v>2.2702857769420846E-2</v>
      </c>
    </row>
    <row r="111" spans="1:29" x14ac:dyDescent="0.2">
      <c r="A111">
        <v>4</v>
      </c>
      <c r="B111">
        <v>124</v>
      </c>
      <c r="C111" s="3" t="s">
        <v>6</v>
      </c>
      <c r="D111" s="20" t="s">
        <v>14</v>
      </c>
      <c r="E111" s="2" t="s">
        <v>17</v>
      </c>
      <c r="F111" s="29">
        <f t="shared" si="20"/>
        <v>120.5682947418822</v>
      </c>
      <c r="G111" s="29">
        <f t="shared" si="21"/>
        <v>51.146215535241083</v>
      </c>
      <c r="H111" s="28"/>
      <c r="I111" s="7">
        <f t="shared" si="28"/>
        <v>89.106167748969725</v>
      </c>
      <c r="J111" s="7">
        <f t="shared" si="29"/>
        <v>89.106167748969725</v>
      </c>
      <c r="K111" s="6">
        <f t="shared" si="30"/>
        <v>17.8398</v>
      </c>
      <c r="L111" s="6">
        <f t="shared" si="30"/>
        <v>17.8398</v>
      </c>
      <c r="M111" s="42">
        <f t="shared" si="31"/>
        <v>7.5846469699557897E-2</v>
      </c>
      <c r="N111" s="42">
        <f t="shared" si="32"/>
        <v>3.2174792677839618E-2</v>
      </c>
      <c r="P111">
        <v>3</v>
      </c>
      <c r="R111">
        <v>1</v>
      </c>
      <c r="S111" s="6">
        <f>commeff</f>
        <v>1</v>
      </c>
      <c r="U111" s="35" t="str">
        <f t="shared" si="25"/>
        <v>Light Fuel Oil and Kerosene</v>
      </c>
      <c r="V111" s="43">
        <f t="shared" si="16"/>
        <v>1.3530858501461731</v>
      </c>
      <c r="W111" s="43">
        <f t="shared" si="17"/>
        <v>0.57399186641412325</v>
      </c>
    </row>
    <row r="112" spans="1:29" x14ac:dyDescent="0.2">
      <c r="A112">
        <v>5</v>
      </c>
      <c r="B112">
        <v>123</v>
      </c>
      <c r="C112" s="3" t="s">
        <v>6</v>
      </c>
      <c r="D112" s="20" t="s">
        <v>14</v>
      </c>
      <c r="E112" s="2" t="s">
        <v>9</v>
      </c>
      <c r="F112" s="29">
        <f t="shared" si="20"/>
        <v>1319.7777606385228</v>
      </c>
      <c r="G112" s="29">
        <f t="shared" si="21"/>
        <v>559.86225855434157</v>
      </c>
      <c r="H112" s="28"/>
      <c r="I112" s="7">
        <f t="shared" si="28"/>
        <v>89.106167748969725</v>
      </c>
      <c r="J112" s="7">
        <f t="shared" si="29"/>
        <v>89.106167748969725</v>
      </c>
      <c r="K112" s="6">
        <f t="shared" si="30"/>
        <v>17.8398</v>
      </c>
      <c r="L112" s="6">
        <f t="shared" si="30"/>
        <v>17.8398</v>
      </c>
      <c r="M112" s="42">
        <f t="shared" si="31"/>
        <v>0.83023886293423599</v>
      </c>
      <c r="N112" s="42">
        <f t="shared" si="32"/>
        <v>0.35219520953062966</v>
      </c>
      <c r="P112">
        <v>3</v>
      </c>
      <c r="R112">
        <v>1</v>
      </c>
      <c r="S112" s="6">
        <f>commeff</f>
        <v>1</v>
      </c>
      <c r="U112" s="35" t="str">
        <f t="shared" si="25"/>
        <v>Natural Gas</v>
      </c>
      <c r="V112" s="43">
        <f t="shared" si="16"/>
        <v>14.811295266974183</v>
      </c>
      <c r="W112" s="43">
        <f t="shared" si="17"/>
        <v>6.2830920989845271</v>
      </c>
    </row>
    <row r="113" spans="1:23" x14ac:dyDescent="0.2">
      <c r="A113">
        <v>6</v>
      </c>
      <c r="B113">
        <v>126</v>
      </c>
      <c r="C113" s="3" t="s">
        <v>6</v>
      </c>
      <c r="D113" s="20" t="s">
        <v>14</v>
      </c>
      <c r="E113" s="2" t="s">
        <v>21</v>
      </c>
      <c r="F113" s="29">
        <f t="shared" si="20"/>
        <v>58.570142142428899</v>
      </c>
      <c r="G113" s="29">
        <f t="shared" si="21"/>
        <v>24.846010473645439</v>
      </c>
      <c r="H113" s="28"/>
      <c r="I113" s="7">
        <f t="shared" si="28"/>
        <v>89.106167748969725</v>
      </c>
      <c r="J113" s="7">
        <f t="shared" si="29"/>
        <v>89.106167748969725</v>
      </c>
      <c r="K113" s="6">
        <f t="shared" si="30"/>
        <v>17.8398</v>
      </c>
      <c r="L113" s="6">
        <f t="shared" si="30"/>
        <v>17.8398</v>
      </c>
      <c r="M113" s="42">
        <f t="shared" si="31"/>
        <v>3.6844997441614999E-2</v>
      </c>
      <c r="N113" s="42">
        <f t="shared" si="32"/>
        <v>1.5629997791530747E-2</v>
      </c>
      <c r="P113">
        <v>3</v>
      </c>
      <c r="R113">
        <v>1</v>
      </c>
      <c r="S113" s="6">
        <f>commeff</f>
        <v>1</v>
      </c>
      <c r="U113" s="35" t="str">
        <f t="shared" si="25"/>
        <v>Other</v>
      </c>
      <c r="V113" s="43">
        <f t="shared" si="16"/>
        <v>0.6573073853589233</v>
      </c>
      <c r="W113" s="43">
        <f t="shared" si="17"/>
        <v>0.2788360346013502</v>
      </c>
    </row>
    <row r="114" spans="1:23" x14ac:dyDescent="0.2">
      <c r="A114">
        <v>2</v>
      </c>
      <c r="B114">
        <v>88</v>
      </c>
      <c r="C114" s="3" t="s">
        <v>4</v>
      </c>
      <c r="D114" s="20" t="s">
        <v>14</v>
      </c>
      <c r="E114" s="2" t="s">
        <v>15</v>
      </c>
      <c r="F114" s="29">
        <f t="shared" si="20"/>
        <v>473.83284879913396</v>
      </c>
      <c r="G114" s="29">
        <f t="shared" si="21"/>
        <v>1502.2909027815579</v>
      </c>
      <c r="H114" s="28"/>
      <c r="I114" s="7">
        <f t="shared" si="28"/>
        <v>86.550286064916335</v>
      </c>
      <c r="J114" s="7">
        <f t="shared" si="29"/>
        <v>24.728653161404665</v>
      </c>
      <c r="K114" s="6">
        <f t="shared" si="30"/>
        <v>101.2517</v>
      </c>
      <c r="L114" s="6">
        <f t="shared" si="30"/>
        <v>101.2517</v>
      </c>
      <c r="M114" s="42">
        <f t="shared" si="31"/>
        <v>5.4069746555189598E-2</v>
      </c>
      <c r="N114" s="42">
        <f t="shared" si="32"/>
        <v>0.6</v>
      </c>
      <c r="P114">
        <v>4</v>
      </c>
      <c r="R114">
        <v>1</v>
      </c>
      <c r="S114" s="6">
        <f>commhp</f>
        <v>0.2857142857142857</v>
      </c>
      <c r="U114" s="35" t="str">
        <f t="shared" si="25"/>
        <v>Electricity</v>
      </c>
      <c r="V114" s="43">
        <f t="shared" si="16"/>
        <v>5.4746537572820904</v>
      </c>
      <c r="W114" s="43">
        <f t="shared" si="17"/>
        <v>60.751019999999997</v>
      </c>
    </row>
    <row r="115" spans="1:23" x14ac:dyDescent="0.2">
      <c r="A115">
        <v>3</v>
      </c>
      <c r="B115">
        <v>91</v>
      </c>
      <c r="C115" s="3" t="s">
        <v>4</v>
      </c>
      <c r="D115" s="20" t="s">
        <v>14</v>
      </c>
      <c r="E115" s="2" t="s">
        <v>18</v>
      </c>
      <c r="F115" s="29">
        <f t="shared" si="20"/>
        <v>26.289419256874236</v>
      </c>
      <c r="G115" s="29">
        <f t="shared" si="21"/>
        <v>11.152221290738119</v>
      </c>
      <c r="H115" s="28"/>
      <c r="I115" s="7">
        <f t="shared" si="28"/>
        <v>86.550286064916335</v>
      </c>
      <c r="J115" s="7">
        <f t="shared" si="29"/>
        <v>86.550286064916335</v>
      </c>
      <c r="K115" s="6">
        <f t="shared" si="30"/>
        <v>101.2517</v>
      </c>
      <c r="L115" s="6">
        <f t="shared" si="30"/>
        <v>101.2517</v>
      </c>
      <c r="M115" s="42">
        <f t="shared" si="31"/>
        <v>2.99992336940087E-3</v>
      </c>
      <c r="N115" s="42">
        <f t="shared" si="32"/>
        <v>1.2725959803036382E-3</v>
      </c>
      <c r="P115">
        <v>4</v>
      </c>
      <c r="R115">
        <v>1</v>
      </c>
      <c r="S115" s="6">
        <f>commeff</f>
        <v>1</v>
      </c>
      <c r="U115" s="35" t="str">
        <f t="shared" si="25"/>
        <v>Heavy Fuel Oil</v>
      </c>
      <c r="V115" s="43">
        <f t="shared" si="16"/>
        <v>0.30374734102156609</v>
      </c>
      <c r="W115" s="43">
        <f t="shared" si="17"/>
        <v>0.12885250641890988</v>
      </c>
    </row>
    <row r="116" spans="1:23" x14ac:dyDescent="0.2">
      <c r="A116">
        <v>4</v>
      </c>
      <c r="B116">
        <v>90</v>
      </c>
      <c r="C116" s="3" t="s">
        <v>4</v>
      </c>
      <c r="D116" s="20" t="s">
        <v>14</v>
      </c>
      <c r="E116" s="2" t="s">
        <v>17</v>
      </c>
      <c r="F116" s="29">
        <f t="shared" si="20"/>
        <v>664.67019172016705</v>
      </c>
      <c r="G116" s="29">
        <f t="shared" si="21"/>
        <v>281.95940697634001</v>
      </c>
      <c r="H116" s="28"/>
      <c r="I116" s="7">
        <f t="shared" si="28"/>
        <v>86.550286064916335</v>
      </c>
      <c r="J116" s="7">
        <f t="shared" si="29"/>
        <v>86.550286064916335</v>
      </c>
      <c r="K116" s="6">
        <f t="shared" si="30"/>
        <v>101.2517</v>
      </c>
      <c r="L116" s="6">
        <f t="shared" si="30"/>
        <v>101.2517</v>
      </c>
      <c r="M116" s="42">
        <f t="shared" si="31"/>
        <v>7.5846469699557897E-2</v>
      </c>
      <c r="N116" s="42">
        <f t="shared" si="32"/>
        <v>3.2174792677839618E-2</v>
      </c>
      <c r="P116">
        <v>4</v>
      </c>
      <c r="R116">
        <v>1</v>
      </c>
      <c r="S116" s="6">
        <f>commeff</f>
        <v>1</v>
      </c>
      <c r="U116" s="35" t="str">
        <f t="shared" si="25"/>
        <v>Light Fuel Oil and Kerosene</v>
      </c>
      <c r="V116" s="43">
        <f t="shared" si="16"/>
        <v>7.6795839960787262</v>
      </c>
      <c r="W116" s="43">
        <f t="shared" si="17"/>
        <v>3.2577524557788138</v>
      </c>
    </row>
    <row r="117" spans="1:23" x14ac:dyDescent="0.2">
      <c r="A117">
        <v>5</v>
      </c>
      <c r="B117">
        <v>89</v>
      </c>
      <c r="C117" s="3" t="s">
        <v>4</v>
      </c>
      <c r="D117" s="20" t="s">
        <v>14</v>
      </c>
      <c r="E117" s="2" t="s">
        <v>9</v>
      </c>
      <c r="F117" s="29">
        <f t="shared" si="20"/>
        <v>7275.6850303772108</v>
      </c>
      <c r="G117" s="29">
        <f t="shared" si="21"/>
        <v>3086.4146791398061</v>
      </c>
      <c r="H117" s="28"/>
      <c r="I117" s="7">
        <f t="shared" si="28"/>
        <v>86.550286064916335</v>
      </c>
      <c r="J117" s="7">
        <f t="shared" si="29"/>
        <v>86.550286064916335</v>
      </c>
      <c r="K117" s="6">
        <f t="shared" si="30"/>
        <v>101.2517</v>
      </c>
      <c r="L117" s="6">
        <f t="shared" si="30"/>
        <v>101.2517</v>
      </c>
      <c r="M117" s="42">
        <f t="shared" si="31"/>
        <v>0.83023886293423599</v>
      </c>
      <c r="N117" s="42">
        <f t="shared" si="32"/>
        <v>0.35219520953062966</v>
      </c>
      <c r="P117">
        <v>4</v>
      </c>
      <c r="R117">
        <v>1</v>
      </c>
      <c r="S117" s="6">
        <f>commeff</f>
        <v>1</v>
      </c>
      <c r="U117" s="35" t="str">
        <f t="shared" si="25"/>
        <v>Natural Gas</v>
      </c>
      <c r="V117" s="43">
        <f t="shared" si="16"/>
        <v>84.063096278158383</v>
      </c>
      <c r="W117" s="43">
        <f t="shared" si="17"/>
        <v>35.660363696832455</v>
      </c>
    </row>
    <row r="118" spans="1:23" x14ac:dyDescent="0.2">
      <c r="A118">
        <v>6</v>
      </c>
      <c r="B118">
        <v>92</v>
      </c>
      <c r="C118" s="3" t="s">
        <v>4</v>
      </c>
      <c r="D118" s="20" t="s">
        <v>14</v>
      </c>
      <c r="E118" s="2" t="s">
        <v>21</v>
      </c>
      <c r="F118" s="29">
        <f t="shared" si="20"/>
        <v>322.88610940569663</v>
      </c>
      <c r="G118" s="29">
        <f t="shared" si="21"/>
        <v>136.9713537074895</v>
      </c>
      <c r="H118" s="28"/>
      <c r="I118" s="7">
        <f t="shared" si="28"/>
        <v>86.550286064916335</v>
      </c>
      <c r="J118" s="7">
        <f t="shared" si="29"/>
        <v>86.550286064916335</v>
      </c>
      <c r="K118" s="6">
        <f t="shared" si="30"/>
        <v>101.2517</v>
      </c>
      <c r="L118" s="6">
        <f t="shared" si="30"/>
        <v>101.2517</v>
      </c>
      <c r="M118" s="42">
        <f t="shared" si="31"/>
        <v>3.6844997441614999E-2</v>
      </c>
      <c r="N118" s="42">
        <f t="shared" si="32"/>
        <v>1.5629997791530747E-2</v>
      </c>
      <c r="P118">
        <v>4</v>
      </c>
      <c r="R118">
        <v>1</v>
      </c>
      <c r="S118" s="6">
        <f>commeff</f>
        <v>1</v>
      </c>
      <c r="U118" s="35" t="str">
        <f t="shared" ref="U118:U153" si="33">E118</f>
        <v>Other</v>
      </c>
      <c r="V118" s="43">
        <f t="shared" si="16"/>
        <v>3.7306186274591693</v>
      </c>
      <c r="W118" s="43">
        <f t="shared" si="17"/>
        <v>1.5825638473887338</v>
      </c>
    </row>
    <row r="119" spans="1:23" x14ac:dyDescent="0.2">
      <c r="A119">
        <v>2</v>
      </c>
      <c r="B119">
        <v>106</v>
      </c>
      <c r="C119" s="3" t="s">
        <v>5</v>
      </c>
      <c r="D119" s="20" t="s">
        <v>14</v>
      </c>
      <c r="E119" s="2" t="s">
        <v>15</v>
      </c>
      <c r="F119" s="29">
        <f t="shared" si="20"/>
        <v>700.71976606655687</v>
      </c>
      <c r="G119" s="29">
        <f t="shared" si="21"/>
        <v>200.20564744758767</v>
      </c>
      <c r="H119" s="28"/>
      <c r="I119" s="7">
        <f t="shared" si="28"/>
        <v>206.36888703177522</v>
      </c>
      <c r="J119" s="7">
        <f t="shared" si="29"/>
        <v>58.962539151935772</v>
      </c>
      <c r="K119" s="6">
        <f t="shared" si="30"/>
        <v>62.797999999999902</v>
      </c>
      <c r="L119" s="6">
        <f t="shared" si="30"/>
        <v>62.797999999999902</v>
      </c>
      <c r="M119" s="42">
        <f t="shared" si="31"/>
        <v>5.4069746555189598E-2</v>
      </c>
      <c r="N119" s="42">
        <f t="shared" si="32"/>
        <v>5.4069746555189598E-2</v>
      </c>
      <c r="P119">
        <v>5</v>
      </c>
      <c r="R119">
        <v>1</v>
      </c>
      <c r="S119" s="6">
        <f>commhp</f>
        <v>0.2857142857142857</v>
      </c>
      <c r="U119" s="35" t="str">
        <f t="shared" si="33"/>
        <v>Electricity</v>
      </c>
      <c r="V119" s="43">
        <f t="shared" ref="V119:V153" si="34">K119*M119</f>
        <v>3.3954719441727912</v>
      </c>
      <c r="W119" s="43">
        <f t="shared" ref="W119:W153" si="35">L119*N119</f>
        <v>3.3954719441727912</v>
      </c>
    </row>
    <row r="120" spans="1:23" x14ac:dyDescent="0.2">
      <c r="A120">
        <v>3</v>
      </c>
      <c r="B120">
        <v>109</v>
      </c>
      <c r="C120" s="3" t="s">
        <v>5</v>
      </c>
      <c r="D120" s="20" t="s">
        <v>14</v>
      </c>
      <c r="E120" s="2" t="s">
        <v>18</v>
      </c>
      <c r="F120" s="29">
        <f t="shared" si="20"/>
        <v>38.877667005125168</v>
      </c>
      <c r="G120" s="29">
        <f t="shared" si="21"/>
        <v>39.001355912010958</v>
      </c>
      <c r="H120" s="28"/>
      <c r="I120" s="7">
        <f t="shared" si="28"/>
        <v>206.36888703177522</v>
      </c>
      <c r="J120" s="7">
        <f t="shared" si="29"/>
        <v>206.36888703177522</v>
      </c>
      <c r="K120" s="6">
        <f t="shared" si="30"/>
        <v>62.797999999999902</v>
      </c>
      <c r="L120" s="6">
        <f t="shared" si="30"/>
        <v>62.797999999999902</v>
      </c>
      <c r="M120" s="42">
        <f t="shared" si="31"/>
        <v>2.99992336940087E-3</v>
      </c>
      <c r="N120" s="42">
        <f t="shared" si="32"/>
        <v>3.0094675954536682E-3</v>
      </c>
      <c r="P120">
        <v>5</v>
      </c>
      <c r="R120">
        <v>1</v>
      </c>
      <c r="S120" s="6">
        <f>commeff</f>
        <v>1</v>
      </c>
      <c r="U120" s="35" t="str">
        <f t="shared" si="33"/>
        <v>Heavy Fuel Oil</v>
      </c>
      <c r="V120" s="43">
        <f t="shared" si="34"/>
        <v>0.18838918775163555</v>
      </c>
      <c r="W120" s="43">
        <f t="shared" si="35"/>
        <v>0.18898854605929916</v>
      </c>
    </row>
    <row r="121" spans="1:23" x14ac:dyDescent="0.2">
      <c r="A121">
        <v>4</v>
      </c>
      <c r="B121">
        <v>108</v>
      </c>
      <c r="C121" s="3" t="s">
        <v>5</v>
      </c>
      <c r="D121" s="20" t="s">
        <v>14</v>
      </c>
      <c r="E121" s="2" t="s">
        <v>17</v>
      </c>
      <c r="F121" s="29">
        <f t="shared" si="20"/>
        <v>982.93637183226929</v>
      </c>
      <c r="G121" s="29">
        <f t="shared" si="21"/>
        <v>986.06357402149001</v>
      </c>
      <c r="H121" s="28"/>
      <c r="I121" s="7">
        <f t="shared" si="28"/>
        <v>206.36888703177522</v>
      </c>
      <c r="J121" s="7">
        <f t="shared" si="29"/>
        <v>206.36888703177522</v>
      </c>
      <c r="K121" s="6">
        <f t="shared" si="30"/>
        <v>62.797999999999902</v>
      </c>
      <c r="L121" s="6">
        <f t="shared" si="30"/>
        <v>62.797999999999902</v>
      </c>
      <c r="M121" s="42">
        <f t="shared" si="31"/>
        <v>7.5846469699557897E-2</v>
      </c>
      <c r="N121" s="42">
        <f t="shared" si="32"/>
        <v>7.6087774480707651E-2</v>
      </c>
      <c r="P121">
        <v>5</v>
      </c>
      <c r="R121">
        <v>1</v>
      </c>
      <c r="S121" s="6">
        <f>commeff</f>
        <v>1</v>
      </c>
      <c r="U121" s="35" t="str">
        <f t="shared" si="33"/>
        <v>Light Fuel Oil and Kerosene</v>
      </c>
      <c r="V121" s="43">
        <f t="shared" si="34"/>
        <v>4.7630066041928298</v>
      </c>
      <c r="W121" s="43">
        <f t="shared" si="35"/>
        <v>4.778160061839472</v>
      </c>
    </row>
    <row r="122" spans="1:23" x14ac:dyDescent="0.2">
      <c r="A122">
        <v>5</v>
      </c>
      <c r="B122">
        <v>107</v>
      </c>
      <c r="C122" s="3" t="s">
        <v>5</v>
      </c>
      <c r="D122" s="20" t="s">
        <v>14</v>
      </c>
      <c r="E122" s="2" t="s">
        <v>9</v>
      </c>
      <c r="F122" s="29">
        <f t="shared" si="20"/>
        <v>10759.524852235587</v>
      </c>
      <c r="G122" s="29">
        <f t="shared" si="21"/>
        <v>10793.756172427926</v>
      </c>
      <c r="H122" s="28"/>
      <c r="I122" s="7">
        <f t="shared" si="28"/>
        <v>206.36888703177522</v>
      </c>
      <c r="J122" s="7">
        <f t="shared" si="29"/>
        <v>206.36888703177522</v>
      </c>
      <c r="K122" s="6">
        <f t="shared" si="30"/>
        <v>62.797999999999902</v>
      </c>
      <c r="L122" s="6">
        <f t="shared" si="30"/>
        <v>62.797999999999902</v>
      </c>
      <c r="M122" s="42">
        <f t="shared" si="31"/>
        <v>0.83023886293423599</v>
      </c>
      <c r="N122" s="42">
        <f t="shared" si="32"/>
        <v>0.83288025953339151</v>
      </c>
      <c r="P122">
        <v>5</v>
      </c>
      <c r="R122">
        <v>1</v>
      </c>
      <c r="S122" s="6">
        <f>commeff</f>
        <v>1</v>
      </c>
      <c r="U122" s="35" t="str">
        <f t="shared" si="33"/>
        <v>Natural Gas</v>
      </c>
      <c r="V122" s="43">
        <f t="shared" si="34"/>
        <v>52.137340114544074</v>
      </c>
      <c r="W122" s="43">
        <f t="shared" si="35"/>
        <v>52.303214538177841</v>
      </c>
    </row>
    <row r="123" spans="1:23" x14ac:dyDescent="0.2">
      <c r="A123">
        <v>6</v>
      </c>
      <c r="B123">
        <v>110</v>
      </c>
      <c r="C123" s="3" t="s">
        <v>5</v>
      </c>
      <c r="D123" s="20" t="s">
        <v>14</v>
      </c>
      <c r="E123" s="2" t="s">
        <v>21</v>
      </c>
      <c r="F123" s="29">
        <f t="shared" si="20"/>
        <v>477.4947106818525</v>
      </c>
      <c r="G123" s="29">
        <f t="shared" si="21"/>
        <v>479.0138553054278</v>
      </c>
      <c r="H123" s="28"/>
      <c r="I123" s="7">
        <f t="shared" si="28"/>
        <v>206.36888703177522</v>
      </c>
      <c r="J123" s="7">
        <f t="shared" si="29"/>
        <v>206.36888703177522</v>
      </c>
      <c r="K123" s="6">
        <f t="shared" si="30"/>
        <v>62.797999999999902</v>
      </c>
      <c r="L123" s="6">
        <f t="shared" si="30"/>
        <v>62.797999999999902</v>
      </c>
      <c r="M123" s="42">
        <f t="shared" si="31"/>
        <v>3.6844997441614999E-2</v>
      </c>
      <c r="N123" s="42">
        <f t="shared" si="32"/>
        <v>3.696221943071127E-2</v>
      </c>
      <c r="P123">
        <v>5</v>
      </c>
      <c r="R123">
        <v>1</v>
      </c>
      <c r="S123" s="6">
        <f>commeff</f>
        <v>1</v>
      </c>
      <c r="U123" s="35" t="str">
        <f t="shared" si="33"/>
        <v>Other</v>
      </c>
      <c r="V123" s="43">
        <f t="shared" si="34"/>
        <v>2.3137921493385352</v>
      </c>
      <c r="W123" s="43">
        <f t="shared" si="35"/>
        <v>2.3211534558098026</v>
      </c>
    </row>
    <row r="124" spans="1:23" x14ac:dyDescent="0.2">
      <c r="A124">
        <v>2</v>
      </c>
      <c r="B124">
        <v>56</v>
      </c>
      <c r="C124" s="3" t="s">
        <v>3</v>
      </c>
      <c r="D124" s="20" t="s">
        <v>14</v>
      </c>
      <c r="E124" s="2" t="s">
        <v>15</v>
      </c>
      <c r="F124" s="29">
        <f t="shared" si="20"/>
        <v>71.703802846309628</v>
      </c>
      <c r="G124" s="29">
        <f t="shared" si="21"/>
        <v>227.33749039108451</v>
      </c>
      <c r="H124" s="28"/>
      <c r="I124" s="7">
        <f t="shared" si="28"/>
        <v>90.646791158715487</v>
      </c>
      <c r="J124" s="7">
        <f t="shared" si="29"/>
        <v>25.899083188204422</v>
      </c>
      <c r="K124" s="6">
        <f t="shared" ref="K124:L143" si="36">VLOOKUP($C124,cfloorarea,K$1)</f>
        <v>14.6297</v>
      </c>
      <c r="L124" s="6">
        <f t="shared" si="36"/>
        <v>14.6297</v>
      </c>
      <c r="M124" s="42">
        <f t="shared" si="31"/>
        <v>5.4069746555189598E-2</v>
      </c>
      <c r="N124" s="42">
        <f t="shared" si="32"/>
        <v>0.6</v>
      </c>
      <c r="P124">
        <v>6</v>
      </c>
      <c r="R124">
        <v>1</v>
      </c>
      <c r="S124" s="6">
        <f>commhp</f>
        <v>0.2857142857142857</v>
      </c>
      <c r="U124" s="35" t="str">
        <f t="shared" si="33"/>
        <v>Electricity</v>
      </c>
      <c r="V124" s="43">
        <f t="shared" si="34"/>
        <v>0.79102417117845725</v>
      </c>
      <c r="W124" s="43">
        <f t="shared" si="35"/>
        <v>8.7778200000000002</v>
      </c>
    </row>
    <row r="125" spans="1:23" x14ac:dyDescent="0.2">
      <c r="A125">
        <v>3</v>
      </c>
      <c r="B125">
        <v>59</v>
      </c>
      <c r="C125" s="3" t="s">
        <v>3</v>
      </c>
      <c r="D125" s="20" t="s">
        <v>14</v>
      </c>
      <c r="E125" s="2" t="s">
        <v>18</v>
      </c>
      <c r="F125" s="29">
        <f t="shared" si="20"/>
        <v>3.9783044592967682</v>
      </c>
      <c r="G125" s="29">
        <f t="shared" si="21"/>
        <v>1.6876345292567321</v>
      </c>
      <c r="H125" s="28"/>
      <c r="I125" s="7">
        <f t="shared" si="28"/>
        <v>90.646791158715487</v>
      </c>
      <c r="J125" s="7">
        <f t="shared" si="29"/>
        <v>90.646791158715487</v>
      </c>
      <c r="K125" s="6">
        <f t="shared" si="36"/>
        <v>14.6297</v>
      </c>
      <c r="L125" s="6">
        <f t="shared" si="36"/>
        <v>14.6297</v>
      </c>
      <c r="M125" s="42">
        <f t="shared" si="31"/>
        <v>2.99992336940087E-3</v>
      </c>
      <c r="N125" s="42">
        <f t="shared" si="32"/>
        <v>1.2725959803036382E-3</v>
      </c>
      <c r="P125">
        <v>6</v>
      </c>
      <c r="R125">
        <v>1</v>
      </c>
      <c r="S125" s="6">
        <f>commeff</f>
        <v>1</v>
      </c>
      <c r="U125" s="35" t="str">
        <f t="shared" si="33"/>
        <v>Heavy Fuel Oil</v>
      </c>
      <c r="V125" s="43">
        <f t="shared" si="34"/>
        <v>4.3887978917323905E-2</v>
      </c>
      <c r="W125" s="43">
        <f t="shared" si="35"/>
        <v>1.8617697413048136E-2</v>
      </c>
    </row>
    <row r="126" spans="1:23" x14ac:dyDescent="0.2">
      <c r="A126">
        <v>4</v>
      </c>
      <c r="B126">
        <v>58</v>
      </c>
      <c r="C126" s="3" t="s">
        <v>3</v>
      </c>
      <c r="D126" s="20" t="s">
        <v>14</v>
      </c>
      <c r="E126" s="2" t="s">
        <v>17</v>
      </c>
      <c r="F126" s="29">
        <f t="shared" si="20"/>
        <v>100.5826854463721</v>
      </c>
      <c r="G126" s="29">
        <f t="shared" si="21"/>
        <v>42.668130290528765</v>
      </c>
      <c r="H126" s="28"/>
      <c r="I126" s="7">
        <f t="shared" si="28"/>
        <v>90.646791158715487</v>
      </c>
      <c r="J126" s="7">
        <f t="shared" si="29"/>
        <v>90.646791158715487</v>
      </c>
      <c r="K126" s="6">
        <f t="shared" si="36"/>
        <v>14.6297</v>
      </c>
      <c r="L126" s="6">
        <f t="shared" si="36"/>
        <v>14.6297</v>
      </c>
      <c r="M126" s="42">
        <f t="shared" si="31"/>
        <v>7.5846469699557897E-2</v>
      </c>
      <c r="N126" s="42">
        <f t="shared" si="32"/>
        <v>3.2174792677839618E-2</v>
      </c>
      <c r="P126">
        <v>6</v>
      </c>
      <c r="R126">
        <v>1</v>
      </c>
      <c r="S126" s="6">
        <f>commeff</f>
        <v>1</v>
      </c>
      <c r="U126" s="35" t="str">
        <f t="shared" si="33"/>
        <v>Light Fuel Oil and Kerosene</v>
      </c>
      <c r="V126" s="43">
        <f t="shared" si="34"/>
        <v>1.1096110977636222</v>
      </c>
      <c r="W126" s="43">
        <f t="shared" si="35"/>
        <v>0.47070756443899026</v>
      </c>
    </row>
    <row r="127" spans="1:23" x14ac:dyDescent="0.2">
      <c r="A127">
        <v>5</v>
      </c>
      <c r="B127">
        <v>57</v>
      </c>
      <c r="C127" s="3" t="s">
        <v>3</v>
      </c>
      <c r="D127" s="20" t="s">
        <v>14</v>
      </c>
      <c r="E127" s="2" t="s">
        <v>9</v>
      </c>
      <c r="F127" s="29">
        <f t="shared" si="20"/>
        <v>1101.0091138935982</v>
      </c>
      <c r="G127" s="29">
        <f t="shared" si="21"/>
        <v>467.05852119765729</v>
      </c>
      <c r="H127" s="28"/>
      <c r="I127" s="7">
        <f t="shared" si="28"/>
        <v>90.646791158715487</v>
      </c>
      <c r="J127" s="7">
        <f t="shared" si="29"/>
        <v>90.646791158715487</v>
      </c>
      <c r="K127" s="6">
        <f t="shared" si="36"/>
        <v>14.6297</v>
      </c>
      <c r="L127" s="6">
        <f t="shared" si="36"/>
        <v>14.6297</v>
      </c>
      <c r="M127" s="42">
        <f t="shared" si="31"/>
        <v>0.83023886293423599</v>
      </c>
      <c r="N127" s="42">
        <f t="shared" si="32"/>
        <v>0.35219520953062966</v>
      </c>
      <c r="P127">
        <v>6</v>
      </c>
      <c r="R127">
        <v>1</v>
      </c>
      <c r="S127" s="6">
        <f>commeff</f>
        <v>1</v>
      </c>
      <c r="U127" s="35" t="str">
        <f t="shared" si="33"/>
        <v>Natural Gas</v>
      </c>
      <c r="V127" s="43">
        <f t="shared" si="34"/>
        <v>12.146145493068992</v>
      </c>
      <c r="W127" s="43">
        <f t="shared" si="35"/>
        <v>5.1525102568702525</v>
      </c>
    </row>
    <row r="128" spans="1:23" x14ac:dyDescent="0.2">
      <c r="A128">
        <v>6</v>
      </c>
      <c r="B128">
        <v>60</v>
      </c>
      <c r="C128" s="3" t="s">
        <v>3</v>
      </c>
      <c r="D128" s="20" t="s">
        <v>14</v>
      </c>
      <c r="E128" s="2" t="s">
        <v>21</v>
      </c>
      <c r="F128" s="29">
        <f t="shared" si="20"/>
        <v>48.861453969082326</v>
      </c>
      <c r="G128" s="29">
        <f t="shared" si="21"/>
        <v>20.727492757677965</v>
      </c>
      <c r="H128" s="28"/>
      <c r="I128" s="7">
        <f t="shared" si="28"/>
        <v>90.646791158715487</v>
      </c>
      <c r="J128" s="7">
        <f t="shared" si="29"/>
        <v>90.646791158715487</v>
      </c>
      <c r="K128" s="6">
        <f t="shared" si="36"/>
        <v>14.6297</v>
      </c>
      <c r="L128" s="6">
        <f t="shared" si="36"/>
        <v>14.6297</v>
      </c>
      <c r="M128" s="42">
        <f t="shared" si="31"/>
        <v>3.6844997441614999E-2</v>
      </c>
      <c r="N128" s="42">
        <f t="shared" si="32"/>
        <v>1.5629997791530747E-2</v>
      </c>
      <c r="P128">
        <v>6</v>
      </c>
      <c r="R128">
        <v>1</v>
      </c>
      <c r="S128" s="6">
        <f>commeff</f>
        <v>1</v>
      </c>
      <c r="U128" s="35" t="str">
        <f t="shared" si="33"/>
        <v>Other</v>
      </c>
      <c r="V128" s="43">
        <f t="shared" si="34"/>
        <v>0.53903125907159499</v>
      </c>
      <c r="W128" s="43">
        <f t="shared" si="35"/>
        <v>0.22866217869075736</v>
      </c>
    </row>
    <row r="129" spans="1:29" x14ac:dyDescent="0.2">
      <c r="A129">
        <v>2</v>
      </c>
      <c r="B129">
        <v>72</v>
      </c>
      <c r="C129" s="24" t="s">
        <v>24</v>
      </c>
      <c r="D129" s="20" t="s">
        <v>14</v>
      </c>
      <c r="E129" s="2" t="s">
        <v>15</v>
      </c>
      <c r="F129" s="29">
        <f t="shared" si="20"/>
        <v>627.12646706408634</v>
      </c>
      <c r="G129" s="29">
        <f t="shared" si="21"/>
        <v>1988.3095668685883</v>
      </c>
      <c r="H129" s="28"/>
      <c r="I129" s="7">
        <f t="shared" si="28"/>
        <v>37.578767770537596</v>
      </c>
      <c r="J129" s="7">
        <f t="shared" si="29"/>
        <v>10.73679079158217</v>
      </c>
      <c r="K129" s="6">
        <f t="shared" si="36"/>
        <v>308.64429999999902</v>
      </c>
      <c r="L129" s="6">
        <f t="shared" si="36"/>
        <v>308.64429999999902</v>
      </c>
      <c r="M129" s="42">
        <f t="shared" si="31"/>
        <v>5.4069746555189598E-2</v>
      </c>
      <c r="N129" s="42">
        <f t="shared" si="32"/>
        <v>0.6</v>
      </c>
      <c r="P129">
        <v>7</v>
      </c>
      <c r="R129">
        <v>1</v>
      </c>
      <c r="S129" s="6">
        <f>commhp</f>
        <v>0.2857142857142857</v>
      </c>
      <c r="U129" s="35" t="str">
        <f t="shared" si="33"/>
        <v>Electricity</v>
      </c>
      <c r="V129" s="43">
        <f t="shared" si="34"/>
        <v>16.688319076703852</v>
      </c>
      <c r="W129" s="43">
        <f t="shared" si="35"/>
        <v>185.1865799999994</v>
      </c>
    </row>
    <row r="130" spans="1:29" x14ac:dyDescent="0.2">
      <c r="A130">
        <v>3</v>
      </c>
      <c r="B130">
        <v>75</v>
      </c>
      <c r="C130" s="24" t="s">
        <v>24</v>
      </c>
      <c r="D130" s="20" t="s">
        <v>14</v>
      </c>
      <c r="E130" s="2" t="s">
        <v>18</v>
      </c>
      <c r="F130" s="29">
        <f t="shared" si="20"/>
        <v>34.79452862230567</v>
      </c>
      <c r="G130" s="29">
        <f t="shared" si="21"/>
        <v>14.760169447311362</v>
      </c>
      <c r="H130" s="28"/>
      <c r="I130" s="7">
        <f t="shared" si="28"/>
        <v>37.578767770537596</v>
      </c>
      <c r="J130" s="7">
        <f t="shared" si="29"/>
        <v>37.578767770537596</v>
      </c>
      <c r="K130" s="6">
        <f t="shared" si="36"/>
        <v>308.64429999999902</v>
      </c>
      <c r="L130" s="6">
        <f t="shared" si="36"/>
        <v>308.64429999999902</v>
      </c>
      <c r="M130" s="42">
        <f t="shared" si="31"/>
        <v>2.99992336940087E-3</v>
      </c>
      <c r="N130" s="42">
        <f t="shared" si="32"/>
        <v>1.2725959803036382E-3</v>
      </c>
      <c r="P130">
        <v>7</v>
      </c>
      <c r="R130">
        <v>1</v>
      </c>
      <c r="S130" s="6">
        <f>commeff</f>
        <v>1</v>
      </c>
      <c r="U130" s="35" t="str">
        <f t="shared" si="33"/>
        <v>Heavy Fuel Oil</v>
      </c>
      <c r="V130" s="43">
        <f t="shared" si="34"/>
        <v>0.92590924840236999</v>
      </c>
      <c r="W130" s="43">
        <f t="shared" si="35"/>
        <v>0.39277949552362895</v>
      </c>
    </row>
    <row r="131" spans="1:29" x14ac:dyDescent="0.2">
      <c r="A131">
        <v>4</v>
      </c>
      <c r="B131">
        <v>74</v>
      </c>
      <c r="C131" s="24" t="s">
        <v>24</v>
      </c>
      <c r="D131" s="20" t="s">
        <v>14</v>
      </c>
      <c r="E131" s="2" t="s">
        <v>17</v>
      </c>
      <c r="F131" s="29">
        <f t="shared" si="20"/>
        <v>879.70319101489702</v>
      </c>
      <c r="G131" s="29">
        <f t="shared" si="21"/>
        <v>373.1784472112779</v>
      </c>
      <c r="H131" s="28"/>
      <c r="I131" s="7">
        <f t="shared" si="28"/>
        <v>37.578767770537596</v>
      </c>
      <c r="J131" s="7">
        <f t="shared" si="29"/>
        <v>37.578767770537596</v>
      </c>
      <c r="K131" s="6">
        <f t="shared" si="36"/>
        <v>308.64429999999902</v>
      </c>
      <c r="L131" s="6">
        <f t="shared" si="36"/>
        <v>308.64429999999902</v>
      </c>
      <c r="M131" s="42">
        <f t="shared" si="31"/>
        <v>7.5846469699557897E-2</v>
      </c>
      <c r="N131" s="42">
        <f t="shared" si="32"/>
        <v>3.2174792677839618E-2</v>
      </c>
      <c r="P131">
        <v>7</v>
      </c>
      <c r="R131">
        <v>1</v>
      </c>
      <c r="S131" s="6">
        <f>commeff</f>
        <v>1</v>
      </c>
      <c r="U131" s="35" t="str">
        <f t="shared" si="33"/>
        <v>Light Fuel Oil and Kerosene</v>
      </c>
      <c r="V131" s="43">
        <f t="shared" si="34"/>
        <v>23.409580547891185</v>
      </c>
      <c r="W131" s="43">
        <f t="shared" si="35"/>
        <v>9.9305663636969026</v>
      </c>
    </row>
    <row r="132" spans="1:29" x14ac:dyDescent="0.2">
      <c r="A132">
        <v>5</v>
      </c>
      <c r="B132">
        <v>73</v>
      </c>
      <c r="C132" s="24" t="s">
        <v>24</v>
      </c>
      <c r="D132" s="20" t="s">
        <v>14</v>
      </c>
      <c r="E132" s="2" t="s">
        <v>9</v>
      </c>
      <c r="F132" s="29">
        <f t="shared" si="20"/>
        <v>9629.5025980897335</v>
      </c>
      <c r="G132" s="29">
        <f t="shared" si="21"/>
        <v>4084.9264430043886</v>
      </c>
      <c r="H132" s="28"/>
      <c r="I132" s="7">
        <f t="shared" si="28"/>
        <v>37.578767770537596</v>
      </c>
      <c r="J132" s="7">
        <f t="shared" ref="J132:J153" si="37">VLOOKUP($D132,cint2030,$P132)*S132</f>
        <v>37.578767770537596</v>
      </c>
      <c r="K132" s="6">
        <f t="shared" si="36"/>
        <v>308.64429999999902</v>
      </c>
      <c r="L132" s="6">
        <f t="shared" si="36"/>
        <v>308.64429999999902</v>
      </c>
      <c r="M132" s="42">
        <f t="shared" si="31"/>
        <v>0.83023886293423599</v>
      </c>
      <c r="N132" s="42">
        <f t="shared" si="32"/>
        <v>0.35219520953062966</v>
      </c>
      <c r="P132">
        <v>7</v>
      </c>
      <c r="R132">
        <v>1</v>
      </c>
      <c r="S132" s="6">
        <f>commeff</f>
        <v>1</v>
      </c>
      <c r="U132" s="35" t="str">
        <f t="shared" si="33"/>
        <v>Natural Gas</v>
      </c>
      <c r="V132" s="43">
        <f t="shared" si="34"/>
        <v>256.24849268313238</v>
      </c>
      <c r="W132" s="43">
        <f t="shared" si="35"/>
        <v>108.70304390893418</v>
      </c>
    </row>
    <row r="133" spans="1:29" x14ac:dyDescent="0.2">
      <c r="A133">
        <v>6</v>
      </c>
      <c r="B133">
        <v>76</v>
      </c>
      <c r="C133" s="24" t="s">
        <v>24</v>
      </c>
      <c r="D133" s="20" t="s">
        <v>14</v>
      </c>
      <c r="E133" s="2" t="s">
        <v>21</v>
      </c>
      <c r="F133" s="29">
        <f t="shared" ref="F133:F153" si="38">I133*K133*M133</f>
        <v>427.34568860906865</v>
      </c>
      <c r="G133" s="29">
        <f t="shared" ref="G133:G153" si="39">J133*L133*N133</f>
        <v>181.2840991443737</v>
      </c>
      <c r="H133" s="28"/>
      <c r="I133" s="7">
        <f t="shared" si="28"/>
        <v>37.578767770537596</v>
      </c>
      <c r="J133" s="7">
        <f t="shared" si="37"/>
        <v>37.578767770537596</v>
      </c>
      <c r="K133" s="6">
        <f t="shared" si="36"/>
        <v>308.64429999999902</v>
      </c>
      <c r="L133" s="6">
        <f t="shared" si="36"/>
        <v>308.64429999999902</v>
      </c>
      <c r="M133" s="42">
        <f t="shared" si="31"/>
        <v>3.6844997441614999E-2</v>
      </c>
      <c r="N133" s="42">
        <f t="shared" si="32"/>
        <v>1.5629997791530747E-2</v>
      </c>
      <c r="P133">
        <v>7</v>
      </c>
      <c r="R133">
        <v>1</v>
      </c>
      <c r="S133" s="6">
        <f>commeff</f>
        <v>1</v>
      </c>
      <c r="U133" s="35" t="str">
        <f t="shared" si="33"/>
        <v>Other</v>
      </c>
      <c r="V133" s="43">
        <f t="shared" si="34"/>
        <v>11.371998443869016</v>
      </c>
      <c r="W133" s="43">
        <f t="shared" si="35"/>
        <v>4.8241097273685378</v>
      </c>
    </row>
    <row r="134" spans="1:29" x14ac:dyDescent="0.2">
      <c r="A134">
        <v>2</v>
      </c>
      <c r="B134">
        <v>154</v>
      </c>
      <c r="C134" s="3" t="s">
        <v>8</v>
      </c>
      <c r="D134" s="20" t="s">
        <v>14</v>
      </c>
      <c r="E134" s="2" t="s">
        <v>15</v>
      </c>
      <c r="F134" s="29">
        <f t="shared" si="38"/>
        <v>54.317016310197324</v>
      </c>
      <c r="G134" s="29">
        <f t="shared" si="39"/>
        <v>172.21254219890227</v>
      </c>
      <c r="H134" s="28"/>
      <c r="I134" s="7">
        <f t="shared" si="28"/>
        <v>80.080127132546124</v>
      </c>
      <c r="J134" s="7">
        <f t="shared" si="37"/>
        <v>22.880036323584605</v>
      </c>
      <c r="K134" s="6">
        <f t="shared" si="36"/>
        <v>12.5445999999999</v>
      </c>
      <c r="L134" s="6">
        <f t="shared" si="36"/>
        <v>12.5445999999999</v>
      </c>
      <c r="M134" s="42">
        <f t="shared" si="31"/>
        <v>5.4069746555189598E-2</v>
      </c>
      <c r="N134" s="42">
        <f t="shared" si="32"/>
        <v>0.6</v>
      </c>
      <c r="P134">
        <v>8</v>
      </c>
      <c r="R134">
        <v>1</v>
      </c>
      <c r="S134" s="6">
        <f>commhp</f>
        <v>0.2857142857142857</v>
      </c>
      <c r="U134" s="35" t="str">
        <f t="shared" si="33"/>
        <v>Electricity</v>
      </c>
      <c r="V134" s="43">
        <f t="shared" si="34"/>
        <v>0.67828334263622603</v>
      </c>
      <c r="W134" s="43">
        <f t="shared" si="35"/>
        <v>7.5267599999999391</v>
      </c>
    </row>
    <row r="135" spans="1:29" x14ac:dyDescent="0.2">
      <c r="A135">
        <v>3</v>
      </c>
      <c r="B135">
        <v>157</v>
      </c>
      <c r="C135" s="3" t="s">
        <v>8</v>
      </c>
      <c r="D135" s="20" t="s">
        <v>14</v>
      </c>
      <c r="E135" s="2" t="s">
        <v>18</v>
      </c>
      <c r="F135" s="29">
        <f t="shared" si="38"/>
        <v>3.0136425074374529</v>
      </c>
      <c r="G135" s="29">
        <f t="shared" si="39"/>
        <v>1.2784157689344635</v>
      </c>
      <c r="H135" s="28"/>
      <c r="I135" s="7">
        <f t="shared" si="28"/>
        <v>80.080127132546124</v>
      </c>
      <c r="J135" s="7">
        <f t="shared" si="37"/>
        <v>80.080127132546124</v>
      </c>
      <c r="K135" s="6">
        <f t="shared" si="36"/>
        <v>12.5445999999999</v>
      </c>
      <c r="L135" s="6">
        <f t="shared" si="36"/>
        <v>12.5445999999999</v>
      </c>
      <c r="M135" s="42">
        <f t="shared" si="31"/>
        <v>2.99992336940087E-3</v>
      </c>
      <c r="N135" s="42">
        <f t="shared" si="32"/>
        <v>1.2725959803036382E-3</v>
      </c>
      <c r="P135">
        <v>8</v>
      </c>
      <c r="R135">
        <v>1</v>
      </c>
      <c r="S135" s="6">
        <f>commeff</f>
        <v>1</v>
      </c>
      <c r="U135" s="35" t="str">
        <f t="shared" si="33"/>
        <v>Heavy Fuel Oil</v>
      </c>
      <c r="V135" s="43">
        <f t="shared" si="34"/>
        <v>3.7632838699785849E-2</v>
      </c>
      <c r="W135" s="43">
        <f t="shared" si="35"/>
        <v>1.5964207534516894E-2</v>
      </c>
    </row>
    <row r="136" spans="1:29" x14ac:dyDescent="0.2">
      <c r="A136">
        <v>4</v>
      </c>
      <c r="B136">
        <v>156</v>
      </c>
      <c r="C136" s="3" t="s">
        <v>8</v>
      </c>
      <c r="D136" s="20" t="s">
        <v>14</v>
      </c>
      <c r="E136" s="2" t="s">
        <v>17</v>
      </c>
      <c r="F136" s="29">
        <f t="shared" si="38"/>
        <v>76.1933279553418</v>
      </c>
      <c r="G136" s="29">
        <f t="shared" si="39"/>
        <v>32.321933243678096</v>
      </c>
      <c r="H136" s="28"/>
      <c r="I136" s="7">
        <f t="shared" si="28"/>
        <v>80.080127132546124</v>
      </c>
      <c r="J136" s="7">
        <f t="shared" si="37"/>
        <v>80.080127132546124</v>
      </c>
      <c r="K136" s="6">
        <f t="shared" si="36"/>
        <v>12.5445999999999</v>
      </c>
      <c r="L136" s="6">
        <f t="shared" si="36"/>
        <v>12.5445999999999</v>
      </c>
      <c r="M136" s="42">
        <f t="shared" ref="M136:M153" si="40">HLOOKUP($C136,whsh19,$A136)</f>
        <v>7.5846469699557897E-2</v>
      </c>
      <c r="N136" s="42">
        <f t="shared" ref="N136:N153" si="41">HLOOKUP($C136,whshint,$A136)</f>
        <v>3.2174792677839618E-2</v>
      </c>
      <c r="P136">
        <v>8</v>
      </c>
      <c r="R136">
        <v>1</v>
      </c>
      <c r="S136" s="6">
        <f>commeff</f>
        <v>1</v>
      </c>
      <c r="U136" s="35" t="str">
        <f t="shared" si="33"/>
        <v>Light Fuel Oil and Kerosene</v>
      </c>
      <c r="V136" s="43">
        <f t="shared" si="34"/>
        <v>0.95146362379306637</v>
      </c>
      <c r="W136" s="43">
        <f t="shared" si="35"/>
        <v>0.40361990422642363</v>
      </c>
    </row>
    <row r="137" spans="1:29" x14ac:dyDescent="0.2">
      <c r="A137">
        <v>5</v>
      </c>
      <c r="B137">
        <v>155</v>
      </c>
      <c r="C137" s="3" t="s">
        <v>8</v>
      </c>
      <c r="D137" s="20" t="s">
        <v>14</v>
      </c>
      <c r="E137" s="2" t="s">
        <v>9</v>
      </c>
      <c r="F137" s="29">
        <f t="shared" si="38"/>
        <v>834.0356804396796</v>
      </c>
      <c r="G137" s="29">
        <f t="shared" si="39"/>
        <v>353.80585557067798</v>
      </c>
      <c r="H137" s="28"/>
      <c r="I137" s="7">
        <f t="shared" si="28"/>
        <v>80.080127132546124</v>
      </c>
      <c r="J137" s="7">
        <f t="shared" si="37"/>
        <v>80.080127132546124</v>
      </c>
      <c r="K137" s="6">
        <f t="shared" si="36"/>
        <v>12.5445999999999</v>
      </c>
      <c r="L137" s="6">
        <f t="shared" si="36"/>
        <v>12.5445999999999</v>
      </c>
      <c r="M137" s="42">
        <f t="shared" si="40"/>
        <v>0.83023886293423599</v>
      </c>
      <c r="N137" s="42">
        <f t="shared" si="41"/>
        <v>0.35219520953062966</v>
      </c>
      <c r="P137">
        <v>8</v>
      </c>
      <c r="R137">
        <v>1</v>
      </c>
      <c r="S137" s="6">
        <f>commeff</f>
        <v>1</v>
      </c>
      <c r="U137" s="35" t="str">
        <f t="shared" si="33"/>
        <v>Natural Gas</v>
      </c>
      <c r="V137" s="43">
        <f t="shared" si="34"/>
        <v>10.415014439964734</v>
      </c>
      <c r="W137" s="43">
        <f t="shared" si="35"/>
        <v>4.4181480254779011</v>
      </c>
    </row>
    <row r="138" spans="1:29" x14ac:dyDescent="0.2">
      <c r="A138">
        <v>6</v>
      </c>
      <c r="B138">
        <v>158</v>
      </c>
      <c r="C138" s="3" t="s">
        <v>8</v>
      </c>
      <c r="D138" s="20" t="s">
        <v>14</v>
      </c>
      <c r="E138" s="2" t="s">
        <v>21</v>
      </c>
      <c r="F138" s="29">
        <f t="shared" si="38"/>
        <v>37.013495614273324</v>
      </c>
      <c r="G138" s="29">
        <f t="shared" si="39"/>
        <v>15.701476316415976</v>
      </c>
      <c r="H138" s="28"/>
      <c r="I138" s="7">
        <f t="shared" si="28"/>
        <v>80.080127132546124</v>
      </c>
      <c r="J138" s="7">
        <f t="shared" si="37"/>
        <v>80.080127132546124</v>
      </c>
      <c r="K138" s="6">
        <f t="shared" si="36"/>
        <v>12.5445999999999</v>
      </c>
      <c r="L138" s="6">
        <f t="shared" si="36"/>
        <v>12.5445999999999</v>
      </c>
      <c r="M138" s="42">
        <f t="shared" si="40"/>
        <v>3.6844997441614999E-2</v>
      </c>
      <c r="N138" s="42">
        <f t="shared" si="41"/>
        <v>1.5629997791530747E-2</v>
      </c>
      <c r="P138">
        <v>8</v>
      </c>
      <c r="R138">
        <v>1</v>
      </c>
      <c r="S138" s="6">
        <f>commeff</f>
        <v>1</v>
      </c>
      <c r="U138" s="35" t="str">
        <f t="shared" si="33"/>
        <v>Other</v>
      </c>
      <c r="V138" s="43">
        <f t="shared" si="34"/>
        <v>0.46220575490607979</v>
      </c>
      <c r="W138" s="43">
        <f t="shared" si="35"/>
        <v>0.19607207029563503</v>
      </c>
    </row>
    <row r="139" spans="1:29" x14ac:dyDescent="0.2">
      <c r="A139">
        <v>2</v>
      </c>
      <c r="B139">
        <v>22</v>
      </c>
      <c r="C139" s="3" t="s">
        <v>1</v>
      </c>
      <c r="D139" s="20" t="s">
        <v>14</v>
      </c>
      <c r="E139" s="2" t="s">
        <v>15</v>
      </c>
      <c r="F139" s="29">
        <f t="shared" si="38"/>
        <v>548.96775872367596</v>
      </c>
      <c r="G139" s="29">
        <f t="shared" si="39"/>
        <v>1740.5067460837195</v>
      </c>
      <c r="H139" s="28"/>
      <c r="I139" s="7">
        <f t="shared" si="28"/>
        <v>85.76580519362814</v>
      </c>
      <c r="J139" s="7">
        <f t="shared" si="37"/>
        <v>24.504515769608037</v>
      </c>
      <c r="K139" s="6">
        <f t="shared" si="36"/>
        <v>118.38</v>
      </c>
      <c r="L139" s="6">
        <f t="shared" si="36"/>
        <v>118.38</v>
      </c>
      <c r="M139" s="42">
        <f t="shared" si="40"/>
        <v>5.4069746555189598E-2</v>
      </c>
      <c r="N139" s="42">
        <f t="shared" si="41"/>
        <v>0.6</v>
      </c>
      <c r="P139">
        <v>9</v>
      </c>
      <c r="R139">
        <v>1</v>
      </c>
      <c r="S139" s="6">
        <f>commhp</f>
        <v>0.2857142857142857</v>
      </c>
      <c r="U139" s="35" t="str">
        <f t="shared" si="33"/>
        <v>Electricity</v>
      </c>
      <c r="V139" s="43">
        <f t="shared" si="34"/>
        <v>6.4007765972033441</v>
      </c>
      <c r="W139" s="43">
        <f t="shared" si="35"/>
        <v>71.027999999999992</v>
      </c>
    </row>
    <row r="140" spans="1:29" x14ac:dyDescent="0.2">
      <c r="A140">
        <v>3</v>
      </c>
      <c r="B140">
        <v>25</v>
      </c>
      <c r="C140" s="3" t="s">
        <v>1</v>
      </c>
      <c r="D140" s="20" t="s">
        <v>14</v>
      </c>
      <c r="E140" s="2" t="s">
        <v>18</v>
      </c>
      <c r="F140" s="29">
        <f t="shared" si="38"/>
        <v>30.458090029362431</v>
      </c>
      <c r="G140" s="29">
        <f t="shared" si="39"/>
        <v>12.920611017752123</v>
      </c>
      <c r="H140" s="28"/>
      <c r="I140" s="7">
        <f t="shared" si="28"/>
        <v>85.76580519362814</v>
      </c>
      <c r="J140" s="7">
        <f t="shared" si="37"/>
        <v>85.76580519362814</v>
      </c>
      <c r="K140" s="6">
        <f t="shared" si="36"/>
        <v>118.38</v>
      </c>
      <c r="L140" s="6">
        <f t="shared" si="36"/>
        <v>118.38</v>
      </c>
      <c r="M140" s="42">
        <f t="shared" si="40"/>
        <v>2.99992336940087E-3</v>
      </c>
      <c r="N140" s="42">
        <f t="shared" si="41"/>
        <v>1.2725959803036382E-3</v>
      </c>
      <c r="P140">
        <v>9</v>
      </c>
      <c r="R140">
        <v>1</v>
      </c>
      <c r="S140" s="6">
        <f>commeff</f>
        <v>1</v>
      </c>
      <c r="U140" s="35" t="str">
        <f t="shared" si="33"/>
        <v>Heavy Fuel Oil</v>
      </c>
      <c r="V140" s="43">
        <f t="shared" si="34"/>
        <v>0.35513092846967498</v>
      </c>
      <c r="W140" s="43">
        <f t="shared" si="35"/>
        <v>0.15064991214834469</v>
      </c>
    </row>
    <row r="141" spans="1:29" x14ac:dyDescent="0.2">
      <c r="A141">
        <v>4</v>
      </c>
      <c r="B141">
        <v>24</v>
      </c>
      <c r="C141" s="3" t="s">
        <v>1</v>
      </c>
      <c r="D141" s="20" t="s">
        <v>14</v>
      </c>
      <c r="E141" s="2" t="s">
        <v>17</v>
      </c>
      <c r="F141" s="29">
        <f t="shared" si="38"/>
        <v>770.06587104250389</v>
      </c>
      <c r="G141" s="29">
        <f t="shared" si="39"/>
        <v>326.66925497281204</v>
      </c>
      <c r="H141" s="28"/>
      <c r="I141" s="7">
        <f t="shared" si="28"/>
        <v>85.76580519362814</v>
      </c>
      <c r="J141" s="7">
        <f t="shared" si="37"/>
        <v>85.76580519362814</v>
      </c>
      <c r="K141" s="6">
        <f t="shared" si="36"/>
        <v>118.38</v>
      </c>
      <c r="L141" s="6">
        <f t="shared" si="36"/>
        <v>118.38</v>
      </c>
      <c r="M141" s="42">
        <f t="shared" si="40"/>
        <v>7.5846469699557897E-2</v>
      </c>
      <c r="N141" s="42">
        <f t="shared" si="41"/>
        <v>3.2174792677839618E-2</v>
      </c>
      <c r="P141">
        <v>9</v>
      </c>
      <c r="R141">
        <v>1</v>
      </c>
      <c r="S141" s="6">
        <f>commeff</f>
        <v>1</v>
      </c>
      <c r="U141" s="35" t="str">
        <f t="shared" si="33"/>
        <v>Light Fuel Oil and Kerosene</v>
      </c>
      <c r="V141" s="43">
        <f t="shared" si="34"/>
        <v>8.9787050830336632</v>
      </c>
      <c r="W141" s="43">
        <f t="shared" si="35"/>
        <v>3.8088519572026538</v>
      </c>
    </row>
    <row r="142" spans="1:29" x14ac:dyDescent="0.2">
      <c r="A142">
        <v>5</v>
      </c>
      <c r="B142">
        <v>23</v>
      </c>
      <c r="C142" s="3" t="s">
        <v>1</v>
      </c>
      <c r="D142" s="20" t="s">
        <v>14</v>
      </c>
      <c r="E142" s="2" t="s">
        <v>9</v>
      </c>
      <c r="F142" s="29">
        <f t="shared" si="38"/>
        <v>8429.3786604878351</v>
      </c>
      <c r="G142" s="29">
        <f t="shared" si="39"/>
        <v>3575.8224724041756</v>
      </c>
      <c r="H142" s="28"/>
      <c r="I142" s="7">
        <f t="shared" si="28"/>
        <v>85.76580519362814</v>
      </c>
      <c r="J142" s="7">
        <f t="shared" si="37"/>
        <v>85.76580519362814</v>
      </c>
      <c r="K142" s="6">
        <f t="shared" si="36"/>
        <v>118.38</v>
      </c>
      <c r="L142" s="6">
        <f t="shared" si="36"/>
        <v>118.38</v>
      </c>
      <c r="M142" s="42">
        <f t="shared" si="40"/>
        <v>0.83023886293423599</v>
      </c>
      <c r="N142" s="42">
        <f t="shared" si="41"/>
        <v>0.35219520953062966</v>
      </c>
      <c r="P142">
        <v>9</v>
      </c>
      <c r="R142">
        <v>1</v>
      </c>
      <c r="S142" s="6">
        <f>commeff</f>
        <v>1</v>
      </c>
      <c r="U142" s="35" t="str">
        <f t="shared" si="33"/>
        <v>Natural Gas</v>
      </c>
      <c r="V142" s="43">
        <f t="shared" si="34"/>
        <v>98.283676594154855</v>
      </c>
      <c r="W142" s="43">
        <f t="shared" si="35"/>
        <v>41.692868904235937</v>
      </c>
    </row>
    <row r="143" spans="1:29" x14ac:dyDescent="0.2">
      <c r="A143">
        <v>6</v>
      </c>
      <c r="B143">
        <v>26</v>
      </c>
      <c r="C143" s="3" t="s">
        <v>1</v>
      </c>
      <c r="D143" s="20" t="s">
        <v>14</v>
      </c>
      <c r="E143" s="2" t="s">
        <v>21</v>
      </c>
      <c r="F143" s="29">
        <f t="shared" si="38"/>
        <v>374.0856385383151</v>
      </c>
      <c r="G143" s="29">
        <f t="shared" si="39"/>
        <v>158.69068015169194</v>
      </c>
      <c r="H143" s="28"/>
      <c r="I143" s="7">
        <f t="shared" si="28"/>
        <v>85.76580519362814</v>
      </c>
      <c r="J143" s="7">
        <f t="shared" si="37"/>
        <v>85.76580519362814</v>
      </c>
      <c r="K143" s="6">
        <f t="shared" si="36"/>
        <v>118.38</v>
      </c>
      <c r="L143" s="6">
        <f t="shared" si="36"/>
        <v>118.38</v>
      </c>
      <c r="M143" s="42">
        <f t="shared" si="40"/>
        <v>3.6844997441614999E-2</v>
      </c>
      <c r="N143" s="42">
        <f t="shared" si="41"/>
        <v>1.5629997791530747E-2</v>
      </c>
      <c r="P143">
        <v>9</v>
      </c>
      <c r="R143">
        <v>1</v>
      </c>
      <c r="S143" s="6">
        <f>commeff</f>
        <v>1</v>
      </c>
      <c r="U143" s="35" t="str">
        <f t="shared" si="33"/>
        <v>Other</v>
      </c>
      <c r="V143" s="43">
        <f t="shared" si="34"/>
        <v>4.3617107971383833</v>
      </c>
      <c r="W143" s="43">
        <f t="shared" si="35"/>
        <v>1.8502791385614097</v>
      </c>
    </row>
    <row r="144" spans="1:29" x14ac:dyDescent="0.2">
      <c r="A144">
        <v>2</v>
      </c>
      <c r="B144">
        <v>40</v>
      </c>
      <c r="C144" s="3" t="s">
        <v>2</v>
      </c>
      <c r="D144" s="20" t="s">
        <v>14</v>
      </c>
      <c r="E144" s="2" t="s">
        <v>15</v>
      </c>
      <c r="F144" s="29">
        <f t="shared" si="38"/>
        <v>71.987120359618743</v>
      </c>
      <c r="G144" s="29">
        <f t="shared" si="39"/>
        <v>228.23575087243717</v>
      </c>
      <c r="H144" s="28"/>
      <c r="I144" s="7">
        <f t="shared" si="28"/>
        <v>40.536206302579586</v>
      </c>
      <c r="J144" s="7">
        <f t="shared" si="37"/>
        <v>11.581773229308453</v>
      </c>
      <c r="K144" s="6">
        <f t="shared" ref="K144:L153" si="42">VLOOKUP($C144,cfloorarea,K$1)</f>
        <v>32.844099999999898</v>
      </c>
      <c r="L144" s="6">
        <f t="shared" si="42"/>
        <v>32.844099999999898</v>
      </c>
      <c r="M144" s="42">
        <f t="shared" si="40"/>
        <v>5.4069746555189598E-2</v>
      </c>
      <c r="N144" s="42">
        <f t="shared" si="41"/>
        <v>0.6</v>
      </c>
      <c r="P144">
        <v>10</v>
      </c>
      <c r="R144">
        <v>1</v>
      </c>
      <c r="S144" s="6">
        <f>commhp</f>
        <v>0.2857142857142857</v>
      </c>
      <c r="U144" s="35" t="str">
        <f t="shared" si="33"/>
        <v>Electricity</v>
      </c>
      <c r="V144" s="43">
        <f t="shared" si="34"/>
        <v>1.7758721628332972</v>
      </c>
      <c r="W144" s="43">
        <f t="shared" si="35"/>
        <v>19.706459999999939</v>
      </c>
      <c r="X144" s="40" t="s">
        <v>49</v>
      </c>
      <c r="Y144" s="35"/>
      <c r="Z144" s="35"/>
      <c r="AA144" s="35"/>
      <c r="AB144" s="35"/>
      <c r="AC144" s="35"/>
    </row>
    <row r="145" spans="1:29" x14ac:dyDescent="0.2">
      <c r="A145">
        <v>3</v>
      </c>
      <c r="B145">
        <v>43</v>
      </c>
      <c r="C145" s="3" t="s">
        <v>2</v>
      </c>
      <c r="D145" s="20" t="s">
        <v>14</v>
      </c>
      <c r="E145" s="2" t="s">
        <v>18</v>
      </c>
      <c r="F145" s="29">
        <f t="shared" si="38"/>
        <v>3.9940236161873788</v>
      </c>
      <c r="G145" s="29">
        <f t="shared" si="39"/>
        <v>1.6943027448774357</v>
      </c>
      <c r="H145" s="28"/>
      <c r="I145" s="7">
        <f t="shared" si="28"/>
        <v>40.536206302579586</v>
      </c>
      <c r="J145" s="7">
        <f t="shared" si="37"/>
        <v>40.536206302579586</v>
      </c>
      <c r="K145" s="6">
        <f t="shared" si="42"/>
        <v>32.844099999999898</v>
      </c>
      <c r="L145" s="6">
        <f t="shared" si="42"/>
        <v>32.844099999999898</v>
      </c>
      <c r="M145" s="42">
        <f t="shared" si="40"/>
        <v>2.99992336940087E-3</v>
      </c>
      <c r="N145" s="42">
        <f t="shared" si="41"/>
        <v>1.2725959803036382E-3</v>
      </c>
      <c r="P145">
        <v>10</v>
      </c>
      <c r="R145">
        <v>1</v>
      </c>
      <c r="S145" s="6">
        <f>commeff</f>
        <v>1</v>
      </c>
      <c r="U145" s="35" t="str">
        <f t="shared" si="33"/>
        <v>Heavy Fuel Oil</v>
      </c>
      <c r="V145" s="43">
        <f t="shared" si="34"/>
        <v>9.8529783136938803E-2</v>
      </c>
      <c r="W145" s="43">
        <f t="shared" si="35"/>
        <v>4.1797269636690594E-2</v>
      </c>
      <c r="X145" s="40" t="s">
        <v>45</v>
      </c>
      <c r="Y145" s="40" t="s">
        <v>46</v>
      </c>
      <c r="Z145" s="40" t="s">
        <v>47</v>
      </c>
      <c r="AA145" s="35"/>
      <c r="AB145" s="40" t="s">
        <v>46</v>
      </c>
      <c r="AC145" s="40" t="s">
        <v>47</v>
      </c>
    </row>
    <row r="146" spans="1:29" x14ac:dyDescent="0.2">
      <c r="A146">
        <v>4</v>
      </c>
      <c r="B146">
        <v>42</v>
      </c>
      <c r="C146" s="3" t="s">
        <v>2</v>
      </c>
      <c r="D146" s="20" t="s">
        <v>14</v>
      </c>
      <c r="E146" s="2" t="s">
        <v>17</v>
      </c>
      <c r="F146" s="29">
        <f t="shared" si="38"/>
        <v>100.98010978359588</v>
      </c>
      <c r="G146" s="29">
        <f t="shared" si="39"/>
        <v>42.836721468285027</v>
      </c>
      <c r="H146" s="28"/>
      <c r="I146" s="7">
        <f t="shared" si="28"/>
        <v>40.536206302579586</v>
      </c>
      <c r="J146" s="7">
        <f t="shared" si="37"/>
        <v>40.536206302579586</v>
      </c>
      <c r="K146" s="6">
        <f t="shared" si="42"/>
        <v>32.844099999999898</v>
      </c>
      <c r="L146" s="6">
        <f t="shared" si="42"/>
        <v>32.844099999999898</v>
      </c>
      <c r="M146" s="42">
        <f t="shared" si="40"/>
        <v>7.5846469699557897E-2</v>
      </c>
      <c r="N146" s="42">
        <f t="shared" si="41"/>
        <v>3.2174792677839618E-2</v>
      </c>
      <c r="P146">
        <v>10</v>
      </c>
      <c r="R146">
        <v>1</v>
      </c>
      <c r="S146" s="6">
        <f>commeff</f>
        <v>1</v>
      </c>
      <c r="U146" s="35" t="str">
        <f t="shared" si="33"/>
        <v>Light Fuel Oil and Kerosene</v>
      </c>
      <c r="V146" s="43">
        <f t="shared" si="34"/>
        <v>2.491109035459242</v>
      </c>
      <c r="W146" s="43">
        <f t="shared" si="35"/>
        <v>1.0567521081902289</v>
      </c>
      <c r="X146" s="37" t="s">
        <v>15</v>
      </c>
      <c r="Y146" s="44">
        <f t="shared" ref="Y146:Z150" si="43">SUMIFS(V$104:V$153,$U$104:$U$153,$X146)</f>
        <v>40.777791573476563</v>
      </c>
      <c r="Z146" s="44">
        <f t="shared" si="43"/>
        <v>396.29985604743894</v>
      </c>
      <c r="AA146" s="35"/>
      <c r="AB146" s="38">
        <f t="shared" ref="AB146:AC151" si="44">Y146/Y$102</f>
        <v>5.4069746555189598E-2</v>
      </c>
      <c r="AC146" s="38">
        <f t="shared" si="44"/>
        <v>0.52513262748666267</v>
      </c>
    </row>
    <row r="147" spans="1:29" x14ac:dyDescent="0.2">
      <c r="A147">
        <v>5</v>
      </c>
      <c r="B147">
        <v>41</v>
      </c>
      <c r="C147" s="3" t="s">
        <v>2</v>
      </c>
      <c r="D147" s="20" t="s">
        <v>14</v>
      </c>
      <c r="E147" s="2" t="s">
        <v>9</v>
      </c>
      <c r="F147" s="29">
        <f t="shared" si="38"/>
        <v>1105.3594433307637</v>
      </c>
      <c r="G147" s="29">
        <f t="shared" si="39"/>
        <v>468.90397225524185</v>
      </c>
      <c r="H147" s="28"/>
      <c r="I147" s="7">
        <f t="shared" si="28"/>
        <v>40.536206302579586</v>
      </c>
      <c r="J147" s="7">
        <f t="shared" si="37"/>
        <v>40.536206302579586</v>
      </c>
      <c r="K147" s="6">
        <f t="shared" si="42"/>
        <v>32.844099999999898</v>
      </c>
      <c r="L147" s="6">
        <f t="shared" si="42"/>
        <v>32.844099999999898</v>
      </c>
      <c r="M147" s="42">
        <f t="shared" si="40"/>
        <v>0.83023886293423599</v>
      </c>
      <c r="N147" s="42">
        <f t="shared" si="41"/>
        <v>0.35219520953062966</v>
      </c>
      <c r="P147">
        <v>10</v>
      </c>
      <c r="R147">
        <v>1</v>
      </c>
      <c r="S147" s="6">
        <f>commeff</f>
        <v>1</v>
      </c>
      <c r="U147" s="35" t="str">
        <f t="shared" si="33"/>
        <v>Natural Gas</v>
      </c>
      <c r="V147" s="43">
        <f t="shared" si="34"/>
        <v>27.268448238098255</v>
      </c>
      <c r="W147" s="43">
        <f t="shared" si="35"/>
        <v>11.567534681344918</v>
      </c>
      <c r="X147" s="37" t="s">
        <v>18</v>
      </c>
      <c r="Y147" s="44">
        <f t="shared" si="43"/>
        <v>2.2624528074857233</v>
      </c>
      <c r="Z147" s="44">
        <f t="shared" si="43"/>
        <v>1.1385609029597694</v>
      </c>
      <c r="AA147" s="35"/>
      <c r="AB147" s="38">
        <f t="shared" si="44"/>
        <v>2.99992336940087E-3</v>
      </c>
      <c r="AC147" s="38">
        <f t="shared" si="44"/>
        <v>1.5086946649137314E-3</v>
      </c>
    </row>
    <row r="148" spans="1:29" x14ac:dyDescent="0.2">
      <c r="A148">
        <v>6</v>
      </c>
      <c r="B148">
        <v>46</v>
      </c>
      <c r="C148" s="24" t="s">
        <v>2</v>
      </c>
      <c r="D148" s="21" t="s">
        <v>14</v>
      </c>
      <c r="E148" s="9" t="s">
        <v>21</v>
      </c>
      <c r="F148" s="29">
        <f t="shared" si="38"/>
        <v>49.054516332383486</v>
      </c>
      <c r="G148" s="29">
        <f t="shared" si="39"/>
        <v>20.809391645493236</v>
      </c>
      <c r="H148" s="26"/>
      <c r="I148" s="7">
        <f t="shared" si="28"/>
        <v>40.536206302579586</v>
      </c>
      <c r="J148" s="7">
        <f t="shared" si="37"/>
        <v>40.536206302579586</v>
      </c>
      <c r="K148" s="6">
        <f t="shared" si="42"/>
        <v>32.844099999999898</v>
      </c>
      <c r="L148" s="6">
        <f t="shared" si="42"/>
        <v>32.844099999999898</v>
      </c>
      <c r="M148" s="42">
        <f t="shared" si="40"/>
        <v>3.6844997441614999E-2</v>
      </c>
      <c r="N148" s="42">
        <f t="shared" si="41"/>
        <v>1.5629997791530747E-2</v>
      </c>
      <c r="P148">
        <v>10</v>
      </c>
      <c r="R148">
        <v>1</v>
      </c>
      <c r="S148" s="6">
        <f>commeff</f>
        <v>1</v>
      </c>
      <c r="U148" s="35" t="str">
        <f t="shared" si="33"/>
        <v>Other</v>
      </c>
      <c r="V148" s="43">
        <f t="shared" si="34"/>
        <v>1.2101407804721434</v>
      </c>
      <c r="W148" s="43">
        <f t="shared" si="35"/>
        <v>0.51335321046481341</v>
      </c>
      <c r="X148" s="37" t="s">
        <v>17</v>
      </c>
      <c r="Y148" s="44">
        <f t="shared" si="43"/>
        <v>57.201147222609407</v>
      </c>
      <c r="Z148" s="44">
        <f t="shared" si="43"/>
        <v>28.786010305551905</v>
      </c>
      <c r="AA148" s="35"/>
      <c r="AB148" s="38">
        <f t="shared" si="44"/>
        <v>7.5846469699557911E-2</v>
      </c>
      <c r="AC148" s="38">
        <f t="shared" si="44"/>
        <v>3.8144029062688101E-2</v>
      </c>
    </row>
    <row r="149" spans="1:29" x14ac:dyDescent="0.2">
      <c r="A149">
        <v>2</v>
      </c>
      <c r="B149">
        <v>6</v>
      </c>
      <c r="C149" s="3" t="s">
        <v>0</v>
      </c>
      <c r="D149" s="20" t="s">
        <v>14</v>
      </c>
      <c r="E149" s="2" t="s">
        <v>15</v>
      </c>
      <c r="F149" s="29">
        <f t="shared" si="38"/>
        <v>174.84216804113495</v>
      </c>
      <c r="G149" s="29">
        <f t="shared" si="39"/>
        <v>554.33851649687824</v>
      </c>
      <c r="H149" s="28"/>
      <c r="I149" s="7">
        <f t="shared" si="28"/>
        <v>71.717969988484754</v>
      </c>
      <c r="J149" s="7">
        <f t="shared" si="37"/>
        <v>20.4908485681385</v>
      </c>
      <c r="K149" s="6">
        <f t="shared" si="42"/>
        <v>45.088299999999897</v>
      </c>
      <c r="L149" s="6">
        <f t="shared" si="42"/>
        <v>45.088299999999897</v>
      </c>
      <c r="M149" s="42">
        <f t="shared" si="40"/>
        <v>5.4069746555189598E-2</v>
      </c>
      <c r="N149" s="42">
        <f t="shared" si="41"/>
        <v>0.6</v>
      </c>
      <c r="P149">
        <v>11</v>
      </c>
      <c r="R149">
        <v>1</v>
      </c>
      <c r="S149" s="6">
        <f>commhp</f>
        <v>0.2857142857142857</v>
      </c>
      <c r="U149" s="35" t="str">
        <f t="shared" si="33"/>
        <v>Electricity</v>
      </c>
      <c r="V149" s="43">
        <f t="shared" si="34"/>
        <v>2.4379129536043496</v>
      </c>
      <c r="W149" s="43">
        <f t="shared" si="35"/>
        <v>27.052979999999938</v>
      </c>
      <c r="X149" s="37" t="s">
        <v>9</v>
      </c>
      <c r="Y149" s="44">
        <f t="shared" si="43"/>
        <v>626.14140930688416</v>
      </c>
      <c r="Z149" s="44">
        <f t="shared" si="43"/>
        <v>315.10055193292561</v>
      </c>
      <c r="AA149" s="35"/>
      <c r="AB149" s="38">
        <f t="shared" si="44"/>
        <v>0.8302388629342361</v>
      </c>
      <c r="AC149" s="38">
        <f t="shared" si="44"/>
        <v>0.41753631305691757</v>
      </c>
    </row>
    <row r="150" spans="1:29" x14ac:dyDescent="0.2">
      <c r="A150">
        <v>3</v>
      </c>
      <c r="B150">
        <v>9</v>
      </c>
      <c r="C150" s="3" t="s">
        <v>0</v>
      </c>
      <c r="D150" s="20" t="s">
        <v>14</v>
      </c>
      <c r="E150" s="2" t="s">
        <v>18</v>
      </c>
      <c r="F150" s="29">
        <f t="shared" si="38"/>
        <v>9.7006762428216362</v>
      </c>
      <c r="G150" s="29">
        <f t="shared" si="39"/>
        <v>4.115118978958221</v>
      </c>
      <c r="H150" s="28"/>
      <c r="I150" s="7">
        <f t="shared" si="28"/>
        <v>71.717969988484754</v>
      </c>
      <c r="J150" s="7">
        <f t="shared" si="37"/>
        <v>71.717969988484754</v>
      </c>
      <c r="K150" s="6">
        <f t="shared" si="42"/>
        <v>45.088299999999897</v>
      </c>
      <c r="L150" s="6">
        <f t="shared" si="42"/>
        <v>45.088299999999897</v>
      </c>
      <c r="M150" s="42">
        <f t="shared" si="40"/>
        <v>2.99992336940087E-3</v>
      </c>
      <c r="N150" s="42">
        <f t="shared" si="41"/>
        <v>1.2725959803036382E-3</v>
      </c>
      <c r="P150">
        <v>11</v>
      </c>
      <c r="R150">
        <v>1</v>
      </c>
      <c r="S150" s="6">
        <f>commeff</f>
        <v>1</v>
      </c>
      <c r="U150" s="35" t="str">
        <f t="shared" si="33"/>
        <v>Heavy Fuel Oil</v>
      </c>
      <c r="V150" s="43">
        <f t="shared" si="34"/>
        <v>0.13526144485655694</v>
      </c>
      <c r="W150" s="43">
        <f t="shared" si="35"/>
        <v>5.73791893387244E-2</v>
      </c>
      <c r="X150" s="37" t="s">
        <v>21</v>
      </c>
      <c r="Y150" s="44">
        <f t="shared" si="43"/>
        <v>27.78739908954222</v>
      </c>
      <c r="Z150" s="44">
        <f t="shared" si="43"/>
        <v>13.98378171408214</v>
      </c>
      <c r="AA150" s="35"/>
      <c r="AB150" s="38">
        <f t="shared" si="44"/>
        <v>3.6844997441615006E-2</v>
      </c>
      <c r="AC150" s="38">
        <f t="shared" si="44"/>
        <v>1.8529757005101889E-2</v>
      </c>
    </row>
    <row r="151" spans="1:29" x14ac:dyDescent="0.2">
      <c r="A151">
        <v>4</v>
      </c>
      <c r="B151">
        <v>8</v>
      </c>
      <c r="C151" s="3" t="s">
        <v>0</v>
      </c>
      <c r="D151" s="20" t="s">
        <v>14</v>
      </c>
      <c r="E151" s="2" t="s">
        <v>17</v>
      </c>
      <c r="F151" s="29">
        <f t="shared" si="38"/>
        <v>245.26028038620703</v>
      </c>
      <c r="G151" s="29">
        <f t="shared" si="39"/>
        <v>104.04173990949803</v>
      </c>
      <c r="H151" s="28"/>
      <c r="I151" s="7">
        <f t="shared" si="28"/>
        <v>71.717969988484754</v>
      </c>
      <c r="J151" s="7">
        <f t="shared" si="37"/>
        <v>71.717969988484754</v>
      </c>
      <c r="K151" s="6">
        <f t="shared" si="42"/>
        <v>45.088299999999897</v>
      </c>
      <c r="L151" s="6">
        <f t="shared" si="42"/>
        <v>45.088299999999897</v>
      </c>
      <c r="M151" s="42">
        <f t="shared" si="40"/>
        <v>7.5846469699557897E-2</v>
      </c>
      <c r="N151" s="42">
        <f t="shared" si="41"/>
        <v>3.2174792677839618E-2</v>
      </c>
      <c r="P151">
        <v>11</v>
      </c>
      <c r="R151">
        <v>1</v>
      </c>
      <c r="S151" s="6">
        <f>commeff</f>
        <v>1</v>
      </c>
      <c r="U151" s="35" t="str">
        <f t="shared" si="33"/>
        <v>Light Fuel Oil and Kerosene</v>
      </c>
      <c r="V151" s="43">
        <f t="shared" si="34"/>
        <v>3.4197883797545687</v>
      </c>
      <c r="W151" s="43">
        <f t="shared" si="35"/>
        <v>1.4507067046962328</v>
      </c>
      <c r="X151" s="39" t="s">
        <v>40</v>
      </c>
      <c r="Y151" s="44">
        <f>SUM(Y146:Y150)</f>
        <v>754.17019999999809</v>
      </c>
      <c r="Z151" s="44">
        <f>SUM(Z146:Z150)</f>
        <v>755.3087609029584</v>
      </c>
      <c r="AA151" s="35"/>
      <c r="AB151" s="38">
        <f t="shared" si="44"/>
        <v>0.99999999999999956</v>
      </c>
      <c r="AC151" s="38">
        <f t="shared" si="44"/>
        <v>1.000851421276284</v>
      </c>
    </row>
    <row r="152" spans="1:29" x14ac:dyDescent="0.2">
      <c r="A152">
        <v>5</v>
      </c>
      <c r="B152">
        <v>7</v>
      </c>
      <c r="C152" s="3" t="s">
        <v>0</v>
      </c>
      <c r="D152" s="20" t="s">
        <v>14</v>
      </c>
      <c r="E152" s="2" t="s">
        <v>9</v>
      </c>
      <c r="F152" s="29">
        <f t="shared" si="38"/>
        <v>2684.6947144326132</v>
      </c>
      <c r="G152" s="29">
        <f t="shared" si="39"/>
        <v>1138.8729914830126</v>
      </c>
      <c r="H152" s="28"/>
      <c r="I152" s="7">
        <f t="shared" si="28"/>
        <v>71.717969988484754</v>
      </c>
      <c r="J152" s="7">
        <f t="shared" si="37"/>
        <v>71.717969988484754</v>
      </c>
      <c r="K152" s="6">
        <f t="shared" si="42"/>
        <v>45.088299999999897</v>
      </c>
      <c r="L152" s="6">
        <f t="shared" si="42"/>
        <v>45.088299999999897</v>
      </c>
      <c r="M152" s="42">
        <f t="shared" si="40"/>
        <v>0.83023886293423599</v>
      </c>
      <c r="N152" s="42">
        <f t="shared" si="41"/>
        <v>0.35219520953062966</v>
      </c>
      <c r="P152">
        <v>11</v>
      </c>
      <c r="R152">
        <v>1</v>
      </c>
      <c r="S152" s="6">
        <f>commeff</f>
        <v>1</v>
      </c>
      <c r="U152" s="35" t="str">
        <f t="shared" si="33"/>
        <v>Natural Gas</v>
      </c>
      <c r="V152" s="43">
        <f t="shared" si="34"/>
        <v>37.434058923637629</v>
      </c>
      <c r="W152" s="43">
        <f t="shared" si="35"/>
        <v>15.879883265879853</v>
      </c>
    </row>
    <row r="153" spans="1:29" x14ac:dyDescent="0.2">
      <c r="A153">
        <v>6</v>
      </c>
      <c r="B153">
        <v>10</v>
      </c>
      <c r="C153" s="3" t="s">
        <v>0</v>
      </c>
      <c r="D153" s="20" t="s">
        <v>14</v>
      </c>
      <c r="E153" s="2" t="s">
        <v>21</v>
      </c>
      <c r="F153" s="29">
        <f t="shared" si="38"/>
        <v>119.14350712901077</v>
      </c>
      <c r="G153" s="29">
        <f t="shared" si="39"/>
        <v>50.541807100205382</v>
      </c>
      <c r="H153" s="28"/>
      <c r="I153" s="7">
        <f t="shared" si="28"/>
        <v>71.717969988484754</v>
      </c>
      <c r="J153" s="7">
        <f t="shared" si="37"/>
        <v>71.717969988484754</v>
      </c>
      <c r="K153" s="6">
        <f t="shared" si="42"/>
        <v>45.088299999999897</v>
      </c>
      <c r="L153" s="6">
        <f t="shared" si="42"/>
        <v>45.088299999999897</v>
      </c>
      <c r="M153" s="42">
        <f t="shared" si="40"/>
        <v>3.6844997441614999E-2</v>
      </c>
      <c r="N153" s="42">
        <f t="shared" si="41"/>
        <v>1.5629997791530747E-2</v>
      </c>
      <c r="P153">
        <v>11</v>
      </c>
      <c r="R153">
        <v>1</v>
      </c>
      <c r="S153" s="6">
        <f>commeff</f>
        <v>1</v>
      </c>
      <c r="U153" s="35" t="str">
        <f t="shared" si="33"/>
        <v>Other</v>
      </c>
      <c r="V153" s="43">
        <f t="shared" si="34"/>
        <v>1.6612782981467658</v>
      </c>
      <c r="W153" s="43">
        <f t="shared" si="35"/>
        <v>0.70473002942387419</v>
      </c>
    </row>
    <row r="155" spans="1:29" x14ac:dyDescent="0.2">
      <c r="E155" s="12"/>
      <c r="F155" s="13" t="s">
        <v>46</v>
      </c>
      <c r="G155" s="13" t="s">
        <v>50</v>
      </c>
    </row>
    <row r="156" spans="1:29" x14ac:dyDescent="0.2">
      <c r="D156" s="8">
        <f>F156/$F$176</f>
        <v>0.41790634271526461</v>
      </c>
      <c r="E156" s="31" t="s">
        <v>15</v>
      </c>
      <c r="F156" s="32">
        <f t="shared" ref="F156:G160" si="45">SUMIFS(F$4:F$153,commsummfuel,$E156)</f>
        <v>427584.59197633574</v>
      </c>
      <c r="G156" s="32">
        <f t="shared" si="45"/>
        <v>347387.8690636683</v>
      </c>
    </row>
    <row r="157" spans="1:29" x14ac:dyDescent="0.2">
      <c r="D157" s="8">
        <f t="shared" ref="D157:D160" si="46">F157/$F$176</f>
        <v>9.832294914162681E-4</v>
      </c>
      <c r="E157" s="31" t="s">
        <v>18</v>
      </c>
      <c r="F157" s="32">
        <f t="shared" si="45"/>
        <v>1006.0000003224858</v>
      </c>
      <c r="G157" s="32">
        <f t="shared" si="45"/>
        <v>356.06836134246663</v>
      </c>
    </row>
    <row r="158" spans="1:29" x14ac:dyDescent="0.2">
      <c r="D158" s="8">
        <f t="shared" si="46"/>
        <v>2.5817354474363657E-2</v>
      </c>
      <c r="E158" s="31" t="s">
        <v>17</v>
      </c>
      <c r="F158" s="32">
        <f t="shared" si="45"/>
        <v>26415.255885098082</v>
      </c>
      <c r="G158" s="32">
        <f t="shared" si="45"/>
        <v>9282.6965884962992</v>
      </c>
    </row>
    <row r="159" spans="1:29" x14ac:dyDescent="0.2">
      <c r="D159" s="8">
        <f t="shared" si="46"/>
        <v>0.52330796056664675</v>
      </c>
      <c r="E159" s="31" t="s">
        <v>9</v>
      </c>
      <c r="F159" s="32">
        <f t="shared" si="45"/>
        <v>535427.19486627437</v>
      </c>
      <c r="G159" s="32">
        <f t="shared" si="45"/>
        <v>174563.49950176981</v>
      </c>
    </row>
    <row r="160" spans="1:29" x14ac:dyDescent="0.2">
      <c r="D160" s="8">
        <f t="shared" si="46"/>
        <v>3.1985112752308767E-2</v>
      </c>
      <c r="E160" s="31" t="s">
        <v>21</v>
      </c>
      <c r="F160" s="32">
        <f t="shared" si="45"/>
        <v>32725.852631605652</v>
      </c>
      <c r="G160" s="32">
        <f t="shared" si="45"/>
        <v>10433.006866410789</v>
      </c>
    </row>
    <row r="162" spans="5:7" x14ac:dyDescent="0.2">
      <c r="E162" s="33" t="s">
        <v>32</v>
      </c>
      <c r="F162" s="13" t="s">
        <v>46</v>
      </c>
      <c r="G162" s="13" t="s">
        <v>50</v>
      </c>
    </row>
    <row r="163" spans="5:7" x14ac:dyDescent="0.2">
      <c r="E163" s="33" t="s">
        <v>34</v>
      </c>
      <c r="F163" s="48">
        <f>F159</f>
        <v>535427.19486627437</v>
      </c>
      <c r="G163" s="48">
        <f>G159</f>
        <v>174563.49950176981</v>
      </c>
    </row>
    <row r="164" spans="5:7" x14ac:dyDescent="0.2">
      <c r="E164" s="33" t="s">
        <v>33</v>
      </c>
      <c r="F164" s="48">
        <f>F157+F158</f>
        <v>27421.255885420567</v>
      </c>
      <c r="G164" s="48">
        <f>G157+G158</f>
        <v>9638.7649498387655</v>
      </c>
    </row>
    <row r="165" spans="5:7" x14ac:dyDescent="0.2">
      <c r="E165" s="33" t="s">
        <v>21</v>
      </c>
      <c r="F165" s="48">
        <f>F160</f>
        <v>32725.852631605652</v>
      </c>
      <c r="G165" s="48">
        <f>G160</f>
        <v>10433.006866410789</v>
      </c>
    </row>
    <row r="166" spans="5:7" x14ac:dyDescent="0.2">
      <c r="E166" s="33" t="s">
        <v>27</v>
      </c>
      <c r="F166" s="48">
        <f>SUM(F163:F165)</f>
        <v>595574.30338330066</v>
      </c>
      <c r="G166" s="48">
        <f>SUM(G163:G165)</f>
        <v>194635.27131801937</v>
      </c>
    </row>
    <row r="168" spans="5:7" x14ac:dyDescent="0.2">
      <c r="E168" s="33" t="s">
        <v>39</v>
      </c>
      <c r="F168" s="12"/>
      <c r="G168" s="12"/>
    </row>
    <row r="169" spans="5:7" x14ac:dyDescent="0.2">
      <c r="E169" s="31" t="s">
        <v>15</v>
      </c>
      <c r="F169" s="47">
        <f>AB97</f>
        <v>0.10017582431822519</v>
      </c>
      <c r="G169" s="47">
        <f>AC97</f>
        <v>0.59960563596682204</v>
      </c>
    </row>
    <row r="170" spans="5:7" x14ac:dyDescent="0.2">
      <c r="E170" s="31" t="s">
        <v>18</v>
      </c>
      <c r="F170" s="47">
        <f t="shared" ref="F170:G170" si="47">AB98</f>
        <v>1.4747090822495549E-3</v>
      </c>
      <c r="G170" s="47">
        <f t="shared" si="47"/>
        <v>6.5727338862971055E-4</v>
      </c>
    </row>
    <row r="171" spans="5:7" x14ac:dyDescent="0.2">
      <c r="E171" s="31" t="s">
        <v>17</v>
      </c>
      <c r="F171" s="47">
        <f t="shared" ref="F171:G171" si="48">AB99</f>
        <v>3.6687366752800009E-2</v>
      </c>
      <c r="G171" s="47">
        <f t="shared" si="48"/>
        <v>1.6332960205813405E-2</v>
      </c>
    </row>
    <row r="172" spans="5:7" x14ac:dyDescent="0.2">
      <c r="E172" s="31" t="s">
        <v>9</v>
      </c>
      <c r="F172" s="47">
        <f t="shared" ref="F172:G172" si="49">AB100</f>
        <v>0.80941366369577927</v>
      </c>
      <c r="G172" s="47">
        <f t="shared" si="49"/>
        <v>0.36016585250939659</v>
      </c>
    </row>
    <row r="173" spans="5:7" x14ac:dyDescent="0.2">
      <c r="E173" s="31" t="s">
        <v>21</v>
      </c>
      <c r="F173" s="47">
        <f t="shared" ref="F173:G173" si="50">AB101</f>
        <v>5.2248436150945932E-2</v>
      </c>
      <c r="G173" s="47">
        <f t="shared" si="50"/>
        <v>2.3238277929338167E-2</v>
      </c>
    </row>
    <row r="176" spans="5:7" x14ac:dyDescent="0.2">
      <c r="E176" s="33" t="s">
        <v>41</v>
      </c>
      <c r="F176" s="48">
        <f>SUM(F156:F160)</f>
        <v>1023158.8953596363</v>
      </c>
      <c r="G176" s="48">
        <f>SUM(G156:G160)</f>
        <v>542023.14038168767</v>
      </c>
    </row>
    <row r="177" spans="5:7" x14ac:dyDescent="0.2">
      <c r="E177" s="33" t="s">
        <v>42</v>
      </c>
      <c r="F177" s="49">
        <f>F156/F176</f>
        <v>0.41790634271526461</v>
      </c>
      <c r="G177" s="49">
        <f>G156/G176</f>
        <v>0.64090966451919562</v>
      </c>
    </row>
  </sheetData>
  <sortState xmlns:xlrd2="http://schemas.microsoft.com/office/spreadsheetml/2017/richdata2" ref="B4:N153">
    <sortCondition ref="D4:D153"/>
    <sortCondition ref="C4:C153"/>
    <sortCondition ref="E4:E153"/>
  </sortState>
  <mergeCells count="5">
    <mergeCell ref="I2:J2"/>
    <mergeCell ref="K2:L2"/>
    <mergeCell ref="M2:N2"/>
    <mergeCell ref="R2:S2"/>
    <mergeCell ref="F2:G2"/>
  </mergeCells>
  <pageMargins left="0.7" right="0.7" top="0.75" bottom="0.75" header="0.3" footer="0.3"/>
  <pageSetup orientation="portrait" horizontalDpi="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13D7F1-4FDD-4AC5-BAC0-7AC27D223542}">
  <sheetPr>
    <tabColor rgb="FFFF0000"/>
  </sheetPr>
  <dimension ref="A1:W29"/>
  <sheetViews>
    <sheetView workbookViewId="0">
      <selection activeCell="L14" sqref="L14"/>
    </sheetView>
  </sheetViews>
  <sheetFormatPr defaultRowHeight="12.75" x14ac:dyDescent="0.2"/>
  <cols>
    <col min="1" max="1" width="3.28515625" customWidth="1"/>
    <col min="2" max="2" width="19" customWidth="1"/>
    <col min="3" max="3" width="13.5703125" customWidth="1"/>
    <col min="4" max="4" width="13.42578125" customWidth="1"/>
    <col min="5" max="5" width="12" customWidth="1"/>
    <col min="6" max="6" width="10.7109375" customWidth="1"/>
    <col min="7" max="7" width="9.85546875" customWidth="1"/>
    <col min="8" max="8" width="7.7109375" bestFit="1" customWidth="1"/>
    <col min="9" max="9" width="8" bestFit="1" customWidth="1"/>
    <col min="10" max="10" width="10.85546875" bestFit="1" customWidth="1"/>
    <col min="11" max="11" width="13.140625" customWidth="1"/>
    <col min="12" max="12" width="9.7109375" bestFit="1" customWidth="1"/>
    <col min="13" max="13" width="19.28515625" customWidth="1"/>
    <col min="14" max="14" width="16.5703125" customWidth="1"/>
    <col min="15" max="15" width="13.28515625" customWidth="1"/>
    <col min="16" max="16" width="11" customWidth="1"/>
    <col min="17" max="17" width="10.5703125" customWidth="1"/>
    <col min="18" max="18" width="11.140625" customWidth="1"/>
    <col min="19" max="19" width="7.7109375" bestFit="1" customWidth="1"/>
    <col min="20" max="20" width="8" bestFit="1" customWidth="1"/>
    <col min="21" max="21" width="5.7109375" bestFit="1" customWidth="1"/>
    <col min="22" max="22" width="12.42578125" customWidth="1"/>
    <col min="23" max="23" width="11.5703125" customWidth="1"/>
  </cols>
  <sheetData>
    <row r="1" spans="1:23" ht="18" x14ac:dyDescent="0.25">
      <c r="B1" s="104" t="s">
        <v>182</v>
      </c>
    </row>
    <row r="2" spans="1:23" x14ac:dyDescent="0.2">
      <c r="B2" s="4" t="s">
        <v>26</v>
      </c>
    </row>
    <row r="3" spans="1:23" x14ac:dyDescent="0.2">
      <c r="B3" s="116" t="s">
        <v>180</v>
      </c>
      <c r="C3" s="53"/>
      <c r="D3" s="53"/>
      <c r="E3" s="53"/>
      <c r="F3" s="53"/>
      <c r="G3" s="53"/>
      <c r="H3" s="53"/>
      <c r="I3" s="53"/>
      <c r="J3" s="53"/>
      <c r="K3" s="53"/>
      <c r="L3" s="53"/>
      <c r="M3" s="120" t="s">
        <v>181</v>
      </c>
      <c r="N3" s="17"/>
      <c r="O3" s="17"/>
      <c r="P3" s="17"/>
      <c r="Q3" s="17"/>
      <c r="R3" s="17"/>
      <c r="S3" s="17"/>
      <c r="T3" s="17"/>
      <c r="U3" s="17"/>
      <c r="V3" s="17"/>
      <c r="W3" s="17"/>
    </row>
    <row r="4" spans="1:23" s="11" customFormat="1" ht="51" x14ac:dyDescent="0.2">
      <c r="B4" s="113"/>
      <c r="C4" s="114" t="s">
        <v>7</v>
      </c>
      <c r="D4" s="114" t="s">
        <v>6</v>
      </c>
      <c r="E4" s="114" t="s">
        <v>4</v>
      </c>
      <c r="F4" s="114" t="s">
        <v>5</v>
      </c>
      <c r="G4" s="114" t="s">
        <v>3</v>
      </c>
      <c r="H4" s="114" t="s">
        <v>23</v>
      </c>
      <c r="I4" s="114" t="s">
        <v>8</v>
      </c>
      <c r="J4" s="114" t="s">
        <v>1</v>
      </c>
      <c r="K4" s="114" t="s">
        <v>2</v>
      </c>
      <c r="L4" s="114" t="s">
        <v>0</v>
      </c>
      <c r="M4" s="18"/>
      <c r="N4" s="18" t="s">
        <v>7</v>
      </c>
      <c r="O4" s="18" t="s">
        <v>6</v>
      </c>
      <c r="P4" s="18" t="s">
        <v>4</v>
      </c>
      <c r="Q4" s="18" t="s">
        <v>5</v>
      </c>
      <c r="R4" s="18" t="s">
        <v>3</v>
      </c>
      <c r="S4" s="18" t="s">
        <v>23</v>
      </c>
      <c r="T4" s="18" t="s">
        <v>8</v>
      </c>
      <c r="U4" s="18" t="s">
        <v>1</v>
      </c>
      <c r="V4" s="18" t="s">
        <v>2</v>
      </c>
      <c r="W4" s="18" t="s">
        <v>0</v>
      </c>
    </row>
    <row r="5" spans="1:23" x14ac:dyDescent="0.2">
      <c r="A5">
        <v>2</v>
      </c>
      <c r="B5" s="50" t="s">
        <v>15</v>
      </c>
      <c r="C5" s="127">
        <v>90</v>
      </c>
      <c r="D5" s="127">
        <v>90</v>
      </c>
      <c r="E5" s="128">
        <v>90</v>
      </c>
      <c r="F5" s="127">
        <v>90</v>
      </c>
      <c r="G5" s="127">
        <v>90</v>
      </c>
      <c r="H5" s="127">
        <v>90</v>
      </c>
      <c r="I5" s="127">
        <v>90</v>
      </c>
      <c r="J5" s="128">
        <v>90</v>
      </c>
      <c r="K5" s="127">
        <v>90</v>
      </c>
      <c r="L5" s="127">
        <v>90</v>
      </c>
      <c r="M5" s="125" t="s">
        <v>15</v>
      </c>
      <c r="N5" s="19">
        <v>97</v>
      </c>
      <c r="O5" s="19">
        <v>97</v>
      </c>
      <c r="P5" s="19">
        <v>97</v>
      </c>
      <c r="Q5" s="19">
        <v>97</v>
      </c>
      <c r="R5" s="19">
        <v>97</v>
      </c>
      <c r="S5" s="19">
        <v>97</v>
      </c>
      <c r="T5" s="19">
        <v>97</v>
      </c>
      <c r="U5" s="19">
        <v>97</v>
      </c>
      <c r="V5" s="19">
        <v>97</v>
      </c>
      <c r="W5" s="19">
        <v>97</v>
      </c>
    </row>
    <row r="6" spans="1:23" x14ac:dyDescent="0.2">
      <c r="A6">
        <v>3</v>
      </c>
      <c r="B6" s="52" t="s">
        <v>9</v>
      </c>
      <c r="C6" s="127">
        <v>10</v>
      </c>
      <c r="D6" s="127">
        <v>10</v>
      </c>
      <c r="E6" s="128">
        <v>10</v>
      </c>
      <c r="F6" s="127">
        <v>10</v>
      </c>
      <c r="G6" s="127">
        <v>10</v>
      </c>
      <c r="H6" s="127">
        <v>10</v>
      </c>
      <c r="I6" s="127">
        <v>10</v>
      </c>
      <c r="J6" s="128">
        <v>10</v>
      </c>
      <c r="K6" s="127">
        <v>10</v>
      </c>
      <c r="L6" s="127">
        <v>10</v>
      </c>
      <c r="M6" s="124" t="s">
        <v>21</v>
      </c>
      <c r="N6" s="30">
        <v>3</v>
      </c>
      <c r="O6" s="30">
        <v>3</v>
      </c>
      <c r="P6" s="30">
        <v>3</v>
      </c>
      <c r="Q6" s="30">
        <v>3</v>
      </c>
      <c r="R6" s="30">
        <v>3</v>
      </c>
      <c r="S6" s="30">
        <v>3</v>
      </c>
      <c r="T6" s="30">
        <v>3</v>
      </c>
      <c r="U6" s="30">
        <v>3</v>
      </c>
      <c r="V6" s="30">
        <v>3</v>
      </c>
      <c r="W6" s="30">
        <v>3</v>
      </c>
    </row>
    <row r="7" spans="1:23" x14ac:dyDescent="0.2">
      <c r="C7" s="5"/>
      <c r="D7" s="5"/>
      <c r="E7" s="5"/>
      <c r="F7" s="5"/>
      <c r="G7" s="5"/>
      <c r="H7" s="5">
        <v>1.1049703465754901</v>
      </c>
      <c r="I7" s="5"/>
      <c r="J7" s="5"/>
      <c r="K7" s="5"/>
      <c r="L7" s="5"/>
      <c r="M7" s="5"/>
      <c r="T7" s="1"/>
    </row>
    <row r="8" spans="1:23" x14ac:dyDescent="0.2">
      <c r="B8" s="7"/>
      <c r="C8" s="7"/>
    </row>
    <row r="9" spans="1:23" x14ac:dyDescent="0.2">
      <c r="B9" s="7"/>
      <c r="C9" s="7"/>
      <c r="R9" s="4" t="s">
        <v>25</v>
      </c>
    </row>
    <row r="10" spans="1:23" x14ac:dyDescent="0.2">
      <c r="B10" s="7"/>
      <c r="C10" s="7"/>
    </row>
    <row r="11" spans="1:23" x14ac:dyDescent="0.2">
      <c r="B11" s="7"/>
      <c r="C11" s="7"/>
    </row>
    <row r="12" spans="1:23" x14ac:dyDescent="0.2">
      <c r="B12" s="7"/>
      <c r="C12" s="7"/>
    </row>
    <row r="13" spans="1:23" x14ac:dyDescent="0.2">
      <c r="B13" s="7"/>
      <c r="C13" s="7"/>
    </row>
    <row r="14" spans="1:23" x14ac:dyDescent="0.2">
      <c r="B14" s="7"/>
      <c r="C14" s="7"/>
    </row>
    <row r="15" spans="1:23" x14ac:dyDescent="0.2">
      <c r="B15" s="7"/>
      <c r="C15" s="7"/>
    </row>
    <row r="16" spans="1:23" x14ac:dyDescent="0.2">
      <c r="B16" s="7"/>
      <c r="C16" s="7"/>
    </row>
    <row r="17" spans="2:3" x14ac:dyDescent="0.2">
      <c r="B17" s="7"/>
      <c r="C17" s="7"/>
    </row>
    <row r="18" spans="2:3" x14ac:dyDescent="0.2">
      <c r="B18" s="7"/>
      <c r="C18" s="7"/>
    </row>
    <row r="19" spans="2:3" x14ac:dyDescent="0.2">
      <c r="B19" s="7"/>
      <c r="C19" s="7"/>
    </row>
    <row r="20" spans="2:3" x14ac:dyDescent="0.2">
      <c r="B20" s="7"/>
      <c r="C20" s="7"/>
    </row>
    <row r="21" spans="2:3" x14ac:dyDescent="0.2">
      <c r="B21" s="7"/>
      <c r="C21" s="7"/>
    </row>
    <row r="22" spans="2:3" x14ac:dyDescent="0.2">
      <c r="B22" s="7"/>
      <c r="C22" s="7"/>
    </row>
    <row r="23" spans="2:3" x14ac:dyDescent="0.2">
      <c r="B23" s="7"/>
      <c r="C23" s="7"/>
    </row>
    <row r="24" spans="2:3" x14ac:dyDescent="0.2">
      <c r="B24" s="7"/>
      <c r="C24" s="7"/>
    </row>
    <row r="25" spans="2:3" x14ac:dyDescent="0.2">
      <c r="B25" s="7"/>
      <c r="C25" s="7"/>
    </row>
    <row r="26" spans="2:3" x14ac:dyDescent="0.2">
      <c r="B26" s="7"/>
      <c r="C26" s="7"/>
    </row>
    <row r="27" spans="2:3" x14ac:dyDescent="0.2">
      <c r="B27" s="7"/>
      <c r="C27" s="7"/>
    </row>
    <row r="28" spans="2:3" x14ac:dyDescent="0.2">
      <c r="B28" s="7"/>
      <c r="C28" s="7"/>
    </row>
    <row r="29" spans="2:3" x14ac:dyDescent="0.2">
      <c r="B29" s="7"/>
      <c r="C29" s="7"/>
    </row>
  </sheetData>
  <sheetProtection algorithmName="SHA-512" hashValue="Vv281YI9YXcPh18NseeyXImOjiKw+KIUZIs6LZ+QHkIwj2IZue2GbjUQ9kIp1qJSRLpjMg6mU6izExP8Rrmc8w==" saltValue="r+lBtvyvE4lvBEzBf+MIDw==" spinCount="100000" sheet="1" objects="1" scenarios="1"/>
  <pageMargins left="0.7" right="0.7" top="0.75" bottom="0.75" header="0.3" footer="0.3"/>
  <pageSetup orientation="portrait" horizontalDpi="0"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74F274-B012-436B-A4A7-63FFC7A287C5}">
  <sheetPr>
    <tabColor rgb="FFFF0000"/>
  </sheetPr>
  <dimension ref="A1:W19"/>
  <sheetViews>
    <sheetView topLeftCell="D1" workbookViewId="0">
      <selection activeCell="J1" sqref="J1:T1"/>
    </sheetView>
  </sheetViews>
  <sheetFormatPr defaultRowHeight="12.75" x14ac:dyDescent="0.2"/>
  <cols>
    <col min="1" max="1" width="3.7109375" customWidth="1"/>
    <col min="2" max="2" width="19" customWidth="1"/>
    <col min="3" max="3" width="13.5703125" customWidth="1"/>
    <col min="4" max="4" width="13.42578125" customWidth="1"/>
    <col min="5" max="5" width="12" customWidth="1"/>
    <col min="6" max="6" width="10.7109375" customWidth="1"/>
    <col min="7" max="7" width="9.85546875" customWidth="1"/>
    <col min="8" max="8" width="7.7109375" bestFit="1" customWidth="1"/>
    <col min="9" max="9" width="8" bestFit="1" customWidth="1"/>
    <col min="10" max="10" width="10.85546875" bestFit="1" customWidth="1"/>
    <col min="11" max="11" width="13.140625" customWidth="1"/>
    <col min="12" max="12" width="9.7109375" bestFit="1" customWidth="1"/>
    <col min="13" max="13" width="19.28515625" customWidth="1"/>
    <col min="14" max="14" width="16.5703125" customWidth="1"/>
    <col min="15" max="15" width="13.28515625" customWidth="1"/>
    <col min="16" max="16" width="11" customWidth="1"/>
    <col min="17" max="17" width="10.5703125" customWidth="1"/>
    <col min="18" max="18" width="11.140625" customWidth="1"/>
    <col min="19" max="19" width="7.7109375" bestFit="1" customWidth="1"/>
    <col min="20" max="20" width="8" bestFit="1" customWidth="1"/>
    <col min="21" max="21" width="5.7109375" bestFit="1" customWidth="1"/>
    <col min="22" max="22" width="12.42578125" customWidth="1"/>
    <col min="23" max="23" width="11.5703125" customWidth="1"/>
  </cols>
  <sheetData>
    <row r="1" spans="1:23" ht="18" x14ac:dyDescent="0.25">
      <c r="B1" s="104" t="s">
        <v>178</v>
      </c>
      <c r="J1" s="218" t="s">
        <v>173</v>
      </c>
      <c r="K1" s="219"/>
      <c r="L1" s="219"/>
      <c r="M1" s="219"/>
      <c r="N1" s="219"/>
      <c r="O1" s="219"/>
      <c r="P1" s="219"/>
      <c r="Q1" s="219"/>
      <c r="R1" s="219"/>
      <c r="S1" s="219"/>
      <c r="T1" s="220"/>
    </row>
    <row r="2" spans="1:23" x14ac:dyDescent="0.2">
      <c r="B2" s="4" t="s">
        <v>175</v>
      </c>
    </row>
    <row r="3" spans="1:23" x14ac:dyDescent="0.2">
      <c r="B3" s="117" t="s">
        <v>176</v>
      </c>
      <c r="C3" s="53"/>
      <c r="D3" s="53"/>
      <c r="E3" s="53"/>
      <c r="F3" s="53"/>
      <c r="G3" s="53"/>
      <c r="H3" s="53"/>
      <c r="I3" s="53"/>
      <c r="J3" s="53"/>
      <c r="K3" s="53"/>
      <c r="L3" s="53"/>
      <c r="M3" s="108" t="s">
        <v>179</v>
      </c>
      <c r="N3" s="17"/>
      <c r="O3" s="17"/>
      <c r="P3" s="17"/>
      <c r="Q3" s="17"/>
      <c r="R3" s="17"/>
      <c r="S3" s="17"/>
      <c r="T3" s="17"/>
      <c r="U3" s="17"/>
      <c r="V3" s="17"/>
      <c r="W3" s="17"/>
    </row>
    <row r="4" spans="1:23" s="11" customFormat="1" ht="56.25" customHeight="1" x14ac:dyDescent="0.2">
      <c r="B4" s="113"/>
      <c r="C4" s="114" t="s">
        <v>7</v>
      </c>
      <c r="D4" s="114" t="s">
        <v>6</v>
      </c>
      <c r="E4" s="114" t="s">
        <v>4</v>
      </c>
      <c r="F4" s="114" t="s">
        <v>5</v>
      </c>
      <c r="G4" s="114" t="s">
        <v>3</v>
      </c>
      <c r="H4" s="115" t="s">
        <v>24</v>
      </c>
      <c r="I4" s="114" t="s">
        <v>8</v>
      </c>
      <c r="J4" s="114" t="s">
        <v>1</v>
      </c>
      <c r="K4" s="114" t="s">
        <v>2</v>
      </c>
      <c r="L4" s="114" t="s">
        <v>0</v>
      </c>
      <c r="M4" s="18"/>
      <c r="N4" s="18" t="s">
        <v>7</v>
      </c>
      <c r="O4" s="18" t="s">
        <v>6</v>
      </c>
      <c r="P4" s="18" t="s">
        <v>4</v>
      </c>
      <c r="Q4" s="18" t="s">
        <v>5</v>
      </c>
      <c r="R4" s="18" t="s">
        <v>3</v>
      </c>
      <c r="S4" s="34" t="s">
        <v>24</v>
      </c>
      <c r="T4" s="18" t="s">
        <v>8</v>
      </c>
      <c r="U4" s="18" t="s">
        <v>1</v>
      </c>
      <c r="V4" s="18" t="s">
        <v>2</v>
      </c>
      <c r="W4" s="18" t="s">
        <v>0</v>
      </c>
    </row>
    <row r="5" spans="1:23" x14ac:dyDescent="0.2">
      <c r="A5">
        <v>2</v>
      </c>
      <c r="B5" s="52" t="s">
        <v>15</v>
      </c>
      <c r="C5" s="123">
        <v>5.4069746555189598E-2</v>
      </c>
      <c r="D5" s="123">
        <v>5.4069746555189598E-2</v>
      </c>
      <c r="E5" s="123">
        <v>5.4069746555189598E-2</v>
      </c>
      <c r="F5" s="123">
        <v>5.4069746555189598E-2</v>
      </c>
      <c r="G5" s="123">
        <v>5.4069746555189598E-2</v>
      </c>
      <c r="H5" s="123">
        <v>5.4069746555189598E-2</v>
      </c>
      <c r="I5" s="123">
        <v>5.4069746555189598E-2</v>
      </c>
      <c r="J5" s="123">
        <v>5.4069746555189598E-2</v>
      </c>
      <c r="K5" s="123">
        <v>5.4069746555189598E-2</v>
      </c>
      <c r="L5" s="123">
        <v>5.4069746555189598E-2</v>
      </c>
      <c r="M5" s="124" t="s">
        <v>15</v>
      </c>
      <c r="N5" s="126">
        <f>C5</f>
        <v>5.4069746555189598E-2</v>
      </c>
      <c r="O5" s="41">
        <f>'CI BUILDING DEEP RETROFIT'!C9</f>
        <v>0.6</v>
      </c>
      <c r="P5" s="41">
        <f>'CI BUILDING DEEP RETROFIT'!C7</f>
        <v>0.6</v>
      </c>
      <c r="Q5" s="126">
        <f>F5</f>
        <v>5.4069746555189598E-2</v>
      </c>
      <c r="R5" s="41">
        <f>'CI BUILDING DEEP RETROFIT'!C10</f>
        <v>0.6</v>
      </c>
      <c r="S5" s="41">
        <f>'CI BUILDING DEEP RETROFIT'!C4</f>
        <v>0.6</v>
      </c>
      <c r="T5" s="41">
        <f>'CI BUILDING DEEP RETROFIT'!C13</f>
        <v>0.6</v>
      </c>
      <c r="U5" s="41">
        <f>'CI BUILDING DEEP RETROFIT'!C5</f>
        <v>0.6</v>
      </c>
      <c r="V5" s="41">
        <f>'CI BUILDING DEEP RETROFIT'!C12</f>
        <v>0.6</v>
      </c>
      <c r="W5" s="41">
        <f>'CI BUILDING DEEP RETROFIT'!C11</f>
        <v>0.6</v>
      </c>
    </row>
    <row r="6" spans="1:23" x14ac:dyDescent="0.2">
      <c r="A6">
        <v>3</v>
      </c>
      <c r="B6" s="50" t="s">
        <v>18</v>
      </c>
      <c r="C6" s="123">
        <v>2.99992336940087E-3</v>
      </c>
      <c r="D6" s="123">
        <v>2.99992336940087E-3</v>
      </c>
      <c r="E6" s="123">
        <v>2.99992336940087E-3</v>
      </c>
      <c r="F6" s="123">
        <v>2.99992336940087E-3</v>
      </c>
      <c r="G6" s="123">
        <v>2.99992336940087E-3</v>
      </c>
      <c r="H6" s="123">
        <v>2.99992336940087E-3</v>
      </c>
      <c r="I6" s="123">
        <v>2.99992336940087E-3</v>
      </c>
      <c r="J6" s="123">
        <v>2.99992336940087E-3</v>
      </c>
      <c r="K6" s="123">
        <v>2.99992336940087E-3</v>
      </c>
      <c r="L6" s="123">
        <v>2.99992336940087E-3</v>
      </c>
      <c r="M6" s="125" t="s">
        <v>18</v>
      </c>
      <c r="N6" s="46">
        <f>(1-N$5)*(C6/SUM(C$7:C$9))</f>
        <v>3.0094675954536682E-3</v>
      </c>
      <c r="O6" s="46">
        <f t="shared" ref="O6:W9" si="0">(1-O$5)*(D6/SUM(D$7:D$9))</f>
        <v>1.2725959803036382E-3</v>
      </c>
      <c r="P6" s="46">
        <f t="shared" si="0"/>
        <v>1.2725959803036382E-3</v>
      </c>
      <c r="Q6" s="46">
        <f t="shared" si="0"/>
        <v>3.0094675954536682E-3</v>
      </c>
      <c r="R6" s="46">
        <f t="shared" si="0"/>
        <v>1.2725959803036382E-3</v>
      </c>
      <c r="S6" s="46">
        <f t="shared" si="0"/>
        <v>1.2725959803036382E-3</v>
      </c>
      <c r="T6" s="46">
        <f t="shared" si="0"/>
        <v>1.2725959803036382E-3</v>
      </c>
      <c r="U6" s="46">
        <f t="shared" si="0"/>
        <v>1.2725959803036382E-3</v>
      </c>
      <c r="V6" s="46">
        <f t="shared" si="0"/>
        <v>1.2725959803036382E-3</v>
      </c>
      <c r="W6" s="46">
        <f t="shared" si="0"/>
        <v>1.2725959803036382E-3</v>
      </c>
    </row>
    <row r="7" spans="1:23" x14ac:dyDescent="0.2">
      <c r="A7">
        <v>4</v>
      </c>
      <c r="B7" s="50" t="s">
        <v>17</v>
      </c>
      <c r="C7" s="123">
        <v>7.5846469699557897E-2</v>
      </c>
      <c r="D7" s="123">
        <v>7.5846469699557897E-2</v>
      </c>
      <c r="E7" s="123">
        <v>7.5846469699557897E-2</v>
      </c>
      <c r="F7" s="123">
        <v>7.5846469699557897E-2</v>
      </c>
      <c r="G7" s="123">
        <v>7.5846469699557897E-2</v>
      </c>
      <c r="H7" s="123">
        <v>7.5846469699557897E-2</v>
      </c>
      <c r="I7" s="123">
        <v>7.5846469699557897E-2</v>
      </c>
      <c r="J7" s="123">
        <v>7.5846469699557897E-2</v>
      </c>
      <c r="K7" s="123">
        <v>7.5846469699557897E-2</v>
      </c>
      <c r="L7" s="123">
        <v>7.5846469699557897E-2</v>
      </c>
      <c r="M7" s="125" t="s">
        <v>17</v>
      </c>
      <c r="N7" s="46">
        <f t="shared" ref="N7:N9" si="1">(1-N$5)*(C7/SUM(C$7:C$9))</f>
        <v>7.6087774480707651E-2</v>
      </c>
      <c r="O7" s="46">
        <f t="shared" si="0"/>
        <v>3.2174792677839618E-2</v>
      </c>
      <c r="P7" s="46">
        <f t="shared" si="0"/>
        <v>3.2174792677839618E-2</v>
      </c>
      <c r="Q7" s="46">
        <f t="shared" si="0"/>
        <v>7.6087774480707651E-2</v>
      </c>
      <c r="R7" s="46">
        <f t="shared" si="0"/>
        <v>3.2174792677839618E-2</v>
      </c>
      <c r="S7" s="46">
        <f t="shared" si="0"/>
        <v>3.2174792677839618E-2</v>
      </c>
      <c r="T7" s="46">
        <f t="shared" si="0"/>
        <v>3.2174792677839618E-2</v>
      </c>
      <c r="U7" s="46">
        <f t="shared" si="0"/>
        <v>3.2174792677839618E-2</v>
      </c>
      <c r="V7" s="46">
        <f t="shared" si="0"/>
        <v>3.2174792677839618E-2</v>
      </c>
      <c r="W7" s="46">
        <f t="shared" si="0"/>
        <v>3.2174792677839618E-2</v>
      </c>
    </row>
    <row r="8" spans="1:23" x14ac:dyDescent="0.2">
      <c r="A8">
        <v>5</v>
      </c>
      <c r="B8" s="50" t="s">
        <v>9</v>
      </c>
      <c r="C8" s="123">
        <v>0.83023886293423599</v>
      </c>
      <c r="D8" s="123">
        <v>0.83023886293423599</v>
      </c>
      <c r="E8" s="123">
        <v>0.83023886293423599</v>
      </c>
      <c r="F8" s="123">
        <v>0.83023886293423599</v>
      </c>
      <c r="G8" s="123">
        <v>0.83023886293423599</v>
      </c>
      <c r="H8" s="123">
        <v>0.83023886293423599</v>
      </c>
      <c r="I8" s="123">
        <v>0.83023886293423599</v>
      </c>
      <c r="J8" s="123">
        <v>0.83023886293423599</v>
      </c>
      <c r="K8" s="123">
        <v>0.83023886293423599</v>
      </c>
      <c r="L8" s="123">
        <v>0.83023886293423599</v>
      </c>
      <c r="M8" s="125" t="s">
        <v>9</v>
      </c>
      <c r="N8" s="46">
        <f t="shared" si="1"/>
        <v>0.83288025953339151</v>
      </c>
      <c r="O8" s="46">
        <f t="shared" si="0"/>
        <v>0.35219520953062966</v>
      </c>
      <c r="P8" s="46">
        <f t="shared" si="0"/>
        <v>0.35219520953062966</v>
      </c>
      <c r="Q8" s="46">
        <f t="shared" si="0"/>
        <v>0.83288025953339151</v>
      </c>
      <c r="R8" s="46">
        <f t="shared" si="0"/>
        <v>0.35219520953062966</v>
      </c>
      <c r="S8" s="46">
        <f t="shared" si="0"/>
        <v>0.35219520953062966</v>
      </c>
      <c r="T8" s="46">
        <f t="shared" si="0"/>
        <v>0.35219520953062966</v>
      </c>
      <c r="U8" s="46">
        <f t="shared" si="0"/>
        <v>0.35219520953062966</v>
      </c>
      <c r="V8" s="46">
        <f t="shared" si="0"/>
        <v>0.35219520953062966</v>
      </c>
      <c r="W8" s="46">
        <f t="shared" si="0"/>
        <v>0.35219520953062966</v>
      </c>
    </row>
    <row r="9" spans="1:23" x14ac:dyDescent="0.2">
      <c r="A9">
        <v>6</v>
      </c>
      <c r="B9" s="52" t="s">
        <v>21</v>
      </c>
      <c r="C9" s="123">
        <v>3.6844997441614999E-2</v>
      </c>
      <c r="D9" s="123">
        <v>3.6844997441614999E-2</v>
      </c>
      <c r="E9" s="123">
        <v>3.6844997441614999E-2</v>
      </c>
      <c r="F9" s="123">
        <v>3.6844997441614999E-2</v>
      </c>
      <c r="G9" s="123">
        <v>3.6844997441614999E-2</v>
      </c>
      <c r="H9" s="123">
        <v>3.6844997441614999E-2</v>
      </c>
      <c r="I9" s="123">
        <v>3.6844997441614999E-2</v>
      </c>
      <c r="J9" s="123">
        <v>3.6844997441614999E-2</v>
      </c>
      <c r="K9" s="123">
        <v>3.6844997441614999E-2</v>
      </c>
      <c r="L9" s="123">
        <v>3.6844997441614999E-2</v>
      </c>
      <c r="M9" s="124" t="s">
        <v>21</v>
      </c>
      <c r="N9" s="46">
        <f t="shared" si="1"/>
        <v>3.696221943071127E-2</v>
      </c>
      <c r="O9" s="46">
        <f t="shared" si="0"/>
        <v>1.5629997791530747E-2</v>
      </c>
      <c r="P9" s="46">
        <f t="shared" si="0"/>
        <v>1.5629997791530747E-2</v>
      </c>
      <c r="Q9" s="46">
        <f t="shared" si="0"/>
        <v>3.696221943071127E-2</v>
      </c>
      <c r="R9" s="46">
        <f t="shared" si="0"/>
        <v>1.5629997791530747E-2</v>
      </c>
      <c r="S9" s="46">
        <f t="shared" si="0"/>
        <v>1.5629997791530747E-2</v>
      </c>
      <c r="T9" s="46">
        <f t="shared" si="0"/>
        <v>1.5629997791530747E-2</v>
      </c>
      <c r="U9" s="46">
        <f t="shared" si="0"/>
        <v>1.5629997791530747E-2</v>
      </c>
      <c r="V9" s="46">
        <f t="shared" si="0"/>
        <v>1.5629997791530747E-2</v>
      </c>
      <c r="W9" s="46">
        <f t="shared" si="0"/>
        <v>1.5629997791530747E-2</v>
      </c>
    </row>
    <row r="15" spans="1:23" x14ac:dyDescent="0.2">
      <c r="C15" s="10"/>
      <c r="D15" s="10"/>
      <c r="E15" s="10"/>
      <c r="F15" s="10"/>
      <c r="G15" s="10"/>
      <c r="H15" s="10"/>
      <c r="I15" s="10"/>
      <c r="J15" s="10"/>
      <c r="K15" s="10"/>
      <c r="L15" s="10"/>
    </row>
    <row r="16" spans="1:23" x14ac:dyDescent="0.2">
      <c r="C16" s="10"/>
      <c r="D16" s="10"/>
      <c r="E16" s="10"/>
      <c r="F16" s="10"/>
      <c r="G16" s="10"/>
      <c r="H16" s="10"/>
      <c r="I16" s="10"/>
      <c r="J16" s="10"/>
      <c r="K16" s="10"/>
      <c r="L16" s="10"/>
    </row>
    <row r="17" spans="3:12" x14ac:dyDescent="0.2">
      <c r="C17" s="10"/>
      <c r="D17" s="10"/>
      <c r="E17" s="10"/>
      <c r="F17" s="10"/>
      <c r="G17" s="10"/>
      <c r="H17" s="10"/>
      <c r="I17" s="10"/>
      <c r="J17" s="10"/>
      <c r="K17" s="10"/>
      <c r="L17" s="10"/>
    </row>
    <row r="18" spans="3:12" x14ac:dyDescent="0.2">
      <c r="C18" s="10"/>
      <c r="D18" s="10"/>
      <c r="E18" s="10"/>
      <c r="F18" s="10"/>
      <c r="G18" s="10"/>
      <c r="H18" s="10"/>
      <c r="I18" s="10"/>
      <c r="J18" s="10"/>
      <c r="K18" s="10"/>
      <c r="L18" s="10"/>
    </row>
    <row r="19" spans="3:12" x14ac:dyDescent="0.2">
      <c r="C19" s="10"/>
      <c r="D19" s="10"/>
      <c r="E19" s="10"/>
      <c r="F19" s="10"/>
      <c r="G19" s="10"/>
      <c r="H19" s="10"/>
      <c r="I19" s="10"/>
      <c r="J19" s="10"/>
      <c r="K19" s="10"/>
      <c r="L19" s="10"/>
    </row>
  </sheetData>
  <sheetProtection algorithmName="SHA-512" hashValue="Sdj3FqmPAG2vyGN0y0p87QM7ktKkJjMlROASUgeKyiwGCd+D23ctNlxP8SwQaFkWzDl16RE46MXdlu1mCx7ItQ==" saltValue="5shE31+SBLCv27XgQbbp6g==" spinCount="100000" sheet="1" objects="1" scenarios="1"/>
  <mergeCells count="1">
    <mergeCell ref="J1:T1"/>
  </mergeCells>
  <pageMargins left="0.7" right="0.7" top="0.75" bottom="0.75" header="0.3" footer="0.3"/>
  <pageSetup orientation="portrait" horizontalDpi="0"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F92BE2-7DE0-4945-841A-5C4E750FA775}">
  <sheetPr>
    <tabColor rgb="FFFF0000"/>
  </sheetPr>
  <dimension ref="A1:W10"/>
  <sheetViews>
    <sheetView workbookViewId="0">
      <selection activeCell="G1" sqref="G1:Q1"/>
    </sheetView>
  </sheetViews>
  <sheetFormatPr defaultRowHeight="12.75" x14ac:dyDescent="0.2"/>
  <cols>
    <col min="1" max="1" width="4.42578125" customWidth="1"/>
    <col min="2" max="2" width="19" customWidth="1"/>
    <col min="3" max="3" width="13.5703125" customWidth="1"/>
    <col min="4" max="8" width="11.5703125" bestFit="1" customWidth="1"/>
    <col min="9" max="9" width="12.140625" customWidth="1"/>
    <col min="10" max="10" width="12.7109375" customWidth="1"/>
    <col min="11" max="11" width="11.5703125" bestFit="1" customWidth="1"/>
    <col min="12" max="12" width="10.140625" customWidth="1"/>
    <col min="13" max="13" width="24.5703125" customWidth="1"/>
  </cols>
  <sheetData>
    <row r="1" spans="1:23" ht="15" x14ac:dyDescent="0.25">
      <c r="B1" s="102" t="s">
        <v>174</v>
      </c>
      <c r="G1" s="218" t="s">
        <v>173</v>
      </c>
      <c r="H1" s="219"/>
      <c r="I1" s="219"/>
      <c r="J1" s="219"/>
      <c r="K1" s="219"/>
      <c r="L1" s="219"/>
      <c r="M1" s="219"/>
      <c r="N1" s="219"/>
      <c r="O1" s="219"/>
      <c r="P1" s="219"/>
      <c r="Q1" s="220"/>
    </row>
    <row r="2" spans="1:23" x14ac:dyDescent="0.2">
      <c r="B2" s="101" t="s">
        <v>175</v>
      </c>
    </row>
    <row r="3" spans="1:23" ht="15.75" x14ac:dyDescent="0.25">
      <c r="B3" s="53"/>
      <c r="C3" s="112" t="s">
        <v>176</v>
      </c>
      <c r="D3" s="53"/>
      <c r="E3" s="53"/>
      <c r="F3" s="53"/>
      <c r="G3" s="53"/>
      <c r="H3" s="53"/>
      <c r="I3" s="53"/>
      <c r="J3" s="53"/>
      <c r="K3" s="53"/>
      <c r="L3" s="53"/>
      <c r="M3" s="107"/>
      <c r="N3" s="106" t="s">
        <v>177</v>
      </c>
      <c r="O3" s="17"/>
      <c r="P3" s="17"/>
      <c r="Q3" s="17"/>
      <c r="R3" s="17"/>
      <c r="S3" s="17"/>
      <c r="T3" s="17"/>
      <c r="U3" s="17"/>
      <c r="V3" s="17"/>
      <c r="W3" s="17"/>
    </row>
    <row r="4" spans="1:23" s="11" customFormat="1" ht="63.75" x14ac:dyDescent="0.2">
      <c r="B4" s="113"/>
      <c r="C4" s="114" t="s">
        <v>7</v>
      </c>
      <c r="D4" s="114" t="s">
        <v>6</v>
      </c>
      <c r="E4" s="114" t="s">
        <v>4</v>
      </c>
      <c r="F4" s="114" t="s">
        <v>5</v>
      </c>
      <c r="G4" s="114" t="s">
        <v>3</v>
      </c>
      <c r="H4" s="115" t="s">
        <v>24</v>
      </c>
      <c r="I4" s="114" t="s">
        <v>8</v>
      </c>
      <c r="J4" s="114" t="s">
        <v>1</v>
      </c>
      <c r="K4" s="114" t="s">
        <v>2</v>
      </c>
      <c r="L4" s="114" t="s">
        <v>0</v>
      </c>
      <c r="M4" s="18"/>
      <c r="N4" s="18" t="s">
        <v>7</v>
      </c>
      <c r="O4" s="18" t="s">
        <v>6</v>
      </c>
      <c r="P4" s="18" t="s">
        <v>4</v>
      </c>
      <c r="Q4" s="18" t="s">
        <v>5</v>
      </c>
      <c r="R4" s="18" t="s">
        <v>3</v>
      </c>
      <c r="S4" s="34" t="s">
        <v>24</v>
      </c>
      <c r="T4" s="18" t="s">
        <v>8</v>
      </c>
      <c r="U4" s="18" t="s">
        <v>1</v>
      </c>
      <c r="V4" s="18" t="s">
        <v>2</v>
      </c>
      <c r="W4" s="18" t="s">
        <v>0</v>
      </c>
    </row>
    <row r="5" spans="1:23" x14ac:dyDescent="0.2">
      <c r="A5">
        <v>2</v>
      </c>
      <c r="B5" s="50" t="s">
        <v>15</v>
      </c>
      <c r="C5" s="111">
        <v>8.6823066329520679E-2</v>
      </c>
      <c r="D5" s="111">
        <v>9.5213039573419145E-2</v>
      </c>
      <c r="E5" s="111">
        <v>9.2662172960131683E-2</v>
      </c>
      <c r="F5" s="111">
        <v>9.169400175926247E-2</v>
      </c>
      <c r="G5" s="111">
        <v>9.346311971545869E-2</v>
      </c>
      <c r="H5" s="111">
        <v>0.10861992574363336</v>
      </c>
      <c r="I5" s="111">
        <v>9.9014402511156896E-2</v>
      </c>
      <c r="J5" s="111">
        <v>9.8415842455480004E-2</v>
      </c>
      <c r="K5" s="111">
        <v>9.3497584311345167E-2</v>
      </c>
      <c r="L5" s="111">
        <v>9.6899893965055467E-2</v>
      </c>
      <c r="M5" s="46" t="s">
        <v>15</v>
      </c>
      <c r="N5" s="41">
        <f>'CI BUILDING DEEP RETROFIT'!C8</f>
        <v>0.6</v>
      </c>
      <c r="O5" s="41">
        <f>'CI BUILDING DEEP RETROFIT'!C9</f>
        <v>0.6</v>
      </c>
      <c r="P5" s="41">
        <f>'CI BUILDING DEEP RETROFIT'!C7</f>
        <v>0.6</v>
      </c>
      <c r="Q5" s="41">
        <f>'CI BUILDING DEEP RETROFIT'!C6</f>
        <v>0.6</v>
      </c>
      <c r="R5" s="41">
        <f>'CI BUILDING DEEP RETROFIT'!C10</f>
        <v>0.6</v>
      </c>
      <c r="S5" s="41">
        <f>'CI BUILDING DEEP RETROFIT'!C4</f>
        <v>0.6</v>
      </c>
      <c r="T5" s="41">
        <f>'CI BUILDING DEEP RETROFIT'!C13</f>
        <v>0.6</v>
      </c>
      <c r="U5" s="41">
        <f>'CI BUILDING DEEP RETROFIT'!C5</f>
        <v>0.6</v>
      </c>
      <c r="V5" s="41">
        <f>'CI BUILDING DEEP RETROFIT'!C12</f>
        <v>0.6</v>
      </c>
      <c r="W5" s="41">
        <f>'CI BUILDING DEEP RETROFIT'!C11</f>
        <v>0.6</v>
      </c>
    </row>
    <row r="6" spans="1:23" x14ac:dyDescent="0.2">
      <c r="A6">
        <v>3</v>
      </c>
      <c r="B6" s="50" t="s">
        <v>18</v>
      </c>
      <c r="C6" s="111">
        <v>2.3956561863047976E-4</v>
      </c>
      <c r="D6" s="111">
        <v>2.2885986131405601E-4</v>
      </c>
      <c r="E6" s="111">
        <v>1.6349970259876352E-3</v>
      </c>
      <c r="F6" s="111">
        <v>1.3570858829119686E-3</v>
      </c>
      <c r="G6" s="111">
        <v>1.7670706686256945E-4</v>
      </c>
      <c r="H6" s="111">
        <v>1.714365096619438E-3</v>
      </c>
      <c r="I6" s="111">
        <v>2.1205563997778497E-5</v>
      </c>
      <c r="J6" s="111">
        <v>1.6177017110125065E-3</v>
      </c>
      <c r="K6" s="111">
        <v>1.686082648328214E-3</v>
      </c>
      <c r="L6" s="111">
        <v>1.5270089232484797E-3</v>
      </c>
      <c r="M6" s="46" t="s">
        <v>18</v>
      </c>
      <c r="N6" s="46">
        <f>(1-N$5)*(C6/SUM(C$7:C$9))</f>
        <v>1.049647553113957E-4</v>
      </c>
      <c r="O6" s="46">
        <f t="shared" ref="O6:W9" si="0">(1-O$5)*(D6/SUM(D$7:D$9))</f>
        <v>1.0120294591183887E-4</v>
      </c>
      <c r="P6" s="46">
        <f t="shared" si="0"/>
        <v>7.2208983865605344E-4</v>
      </c>
      <c r="Q6" s="46">
        <f t="shared" si="0"/>
        <v>5.9852803809374742E-4</v>
      </c>
      <c r="R6" s="46">
        <f t="shared" si="0"/>
        <v>7.7985362589461473E-5</v>
      </c>
      <c r="S6" s="46">
        <f t="shared" si="0"/>
        <v>7.707906819241513E-4</v>
      </c>
      <c r="T6" s="46">
        <f t="shared" si="0"/>
        <v>9.4146069202465782E-6</v>
      </c>
      <c r="U6" s="46">
        <f t="shared" si="0"/>
        <v>7.1900533648857658E-4</v>
      </c>
      <c r="V6" s="46">
        <f t="shared" si="0"/>
        <v>7.4538117262437512E-4</v>
      </c>
      <c r="W6" s="46">
        <f t="shared" si="0"/>
        <v>6.7748646366687154E-4</v>
      </c>
    </row>
    <row r="7" spans="1:23" x14ac:dyDescent="0.2">
      <c r="A7">
        <v>4</v>
      </c>
      <c r="B7" s="50" t="s">
        <v>17</v>
      </c>
      <c r="C7" s="111">
        <v>5.3061537185239496E-2</v>
      </c>
      <c r="D7" s="111">
        <v>2.4372883659029676E-2</v>
      </c>
      <c r="E7" s="111">
        <v>2.7227388334033598E-2</v>
      </c>
      <c r="F7" s="111">
        <v>6.3347857648489506E-2</v>
      </c>
      <c r="G7" s="111">
        <v>3.1277723336815944E-2</v>
      </c>
      <c r="H7" s="111">
        <v>4.2955859145185044E-2</v>
      </c>
      <c r="I7" s="111">
        <v>1.5590891354977317E-2</v>
      </c>
      <c r="J7" s="111">
        <v>2.3673834550044934E-2</v>
      </c>
      <c r="K7" s="111">
        <v>2.3408617185467627E-2</v>
      </c>
      <c r="L7" s="111">
        <v>1.964542137811837E-2</v>
      </c>
      <c r="M7" s="46" t="s">
        <v>17</v>
      </c>
      <c r="N7" s="46">
        <f t="shared" ref="N7:N9" si="1">(1-N$5)*(C7/SUM(C$7:C$9))</f>
        <v>2.3248708637469619E-2</v>
      </c>
      <c r="O7" s="46">
        <f t="shared" si="0"/>
        <v>1.0777807923581177E-2</v>
      </c>
      <c r="P7" s="46">
        <f t="shared" si="0"/>
        <v>1.2024866184249999E-2</v>
      </c>
      <c r="Q7" s="46">
        <f t="shared" si="0"/>
        <v>2.7938886870177482E-2</v>
      </c>
      <c r="R7" s="46">
        <f t="shared" si="0"/>
        <v>1.3803661838218937E-2</v>
      </c>
      <c r="S7" s="46">
        <f t="shared" si="0"/>
        <v>1.9313258318455411E-2</v>
      </c>
      <c r="T7" s="46">
        <f t="shared" si="0"/>
        <v>6.9218679427134767E-3</v>
      </c>
      <c r="U7" s="46">
        <f t="shared" si="0"/>
        <v>1.0522096416635584E-2</v>
      </c>
      <c r="V7" s="46">
        <f t="shared" si="0"/>
        <v>1.0348450323309687E-2</v>
      </c>
      <c r="W7" s="46">
        <f t="shared" si="0"/>
        <v>8.7160637073377522E-3</v>
      </c>
    </row>
    <row r="8" spans="1:23" x14ac:dyDescent="0.2">
      <c r="A8">
        <v>5</v>
      </c>
      <c r="B8" s="50" t="s">
        <v>9</v>
      </c>
      <c r="C8" s="111">
        <v>0.80535410087924919</v>
      </c>
      <c r="D8" s="111">
        <v>0.82189447669191118</v>
      </c>
      <c r="E8" s="111">
        <v>0.82089971713911924</v>
      </c>
      <c r="F8" s="111">
        <v>0.7936852184696549</v>
      </c>
      <c r="G8" s="111">
        <v>0.81523027827947669</v>
      </c>
      <c r="H8" s="111">
        <v>0.79873636959797434</v>
      </c>
      <c r="I8" s="111">
        <v>0.83517093071991977</v>
      </c>
      <c r="J8" s="111">
        <v>0.82041193983472127</v>
      </c>
      <c r="K8" s="111">
        <v>0.82521766172081157</v>
      </c>
      <c r="L8" s="111">
        <v>0.82785080794319277</v>
      </c>
      <c r="M8" s="46" t="s">
        <v>9</v>
      </c>
      <c r="N8" s="46">
        <f t="shared" si="1"/>
        <v>0.35286280485936267</v>
      </c>
      <c r="O8" s="46">
        <f t="shared" si="0"/>
        <v>0.36344574270168017</v>
      </c>
      <c r="P8" s="46">
        <f t="shared" si="0"/>
        <v>0.36254704741357091</v>
      </c>
      <c r="Q8" s="46">
        <f t="shared" si="0"/>
        <v>0.3500462738992805</v>
      </c>
      <c r="R8" s="46">
        <f t="shared" si="0"/>
        <v>0.35978203913586326</v>
      </c>
      <c r="S8" s="46">
        <f t="shared" si="0"/>
        <v>0.35911752532413471</v>
      </c>
      <c r="T8" s="46">
        <f t="shared" si="0"/>
        <v>0.37078976181761747</v>
      </c>
      <c r="U8" s="46">
        <f t="shared" si="0"/>
        <v>0.3646411194625665</v>
      </c>
      <c r="V8" s="46">
        <f t="shared" si="0"/>
        <v>0.36481112534648852</v>
      </c>
      <c r="W8" s="46">
        <f t="shared" si="0"/>
        <v>0.36729170850164805</v>
      </c>
    </row>
    <row r="9" spans="1:23" x14ac:dyDescent="0.2">
      <c r="A9">
        <v>6</v>
      </c>
      <c r="B9" s="52" t="s">
        <v>21</v>
      </c>
      <c r="C9" s="111">
        <v>5.4521729987360185E-2</v>
      </c>
      <c r="D9" s="111">
        <v>5.8290740214325946E-2</v>
      </c>
      <c r="E9" s="111">
        <v>5.7575724540727784E-2</v>
      </c>
      <c r="F9" s="111">
        <v>4.9915836239681169E-2</v>
      </c>
      <c r="G9" s="111">
        <v>5.9852171601386082E-2</v>
      </c>
      <c r="H9" s="111">
        <v>4.7973480416587763E-2</v>
      </c>
      <c r="I9" s="111">
        <v>5.0202569849948364E-2</v>
      </c>
      <c r="J9" s="111">
        <v>5.5880681448741247E-2</v>
      </c>
      <c r="K9" s="111">
        <v>5.6190054134047332E-2</v>
      </c>
      <c r="L9" s="111">
        <v>5.4076867790384904E-2</v>
      </c>
      <c r="M9" s="46" t="s">
        <v>21</v>
      </c>
      <c r="N9" s="46">
        <f t="shared" si="1"/>
        <v>2.3888486503167744E-2</v>
      </c>
      <c r="O9" s="46">
        <f t="shared" si="0"/>
        <v>2.5776449374738681E-2</v>
      </c>
      <c r="P9" s="46">
        <f t="shared" si="0"/>
        <v>2.5428086402179129E-2</v>
      </c>
      <c r="Q9" s="46">
        <f t="shared" si="0"/>
        <v>2.201483923054201E-2</v>
      </c>
      <c r="R9" s="46">
        <f t="shared" si="0"/>
        <v>2.6414299025917815E-2</v>
      </c>
      <c r="S9" s="46">
        <f t="shared" si="0"/>
        <v>2.1569216357409909E-2</v>
      </c>
      <c r="T9" s="46">
        <f t="shared" si="0"/>
        <v>2.2288370239669161E-2</v>
      </c>
      <c r="U9" s="46">
        <f t="shared" si="0"/>
        <v>2.4836784120797987E-2</v>
      </c>
      <c r="V9" s="46">
        <f t="shared" si="0"/>
        <v>2.4840424330201838E-2</v>
      </c>
      <c r="W9" s="46">
        <f t="shared" si="0"/>
        <v>2.3992227791014183E-2</v>
      </c>
    </row>
    <row r="10" spans="1:23" x14ac:dyDescent="0.2">
      <c r="C10" s="5"/>
      <c r="D10" s="5"/>
      <c r="E10" s="5"/>
      <c r="F10" s="5"/>
      <c r="G10" s="5"/>
      <c r="H10" s="5">
        <v>1.1049703465754901</v>
      </c>
      <c r="I10" s="5"/>
      <c r="J10" s="5"/>
      <c r="K10" s="5"/>
      <c r="L10" s="5"/>
      <c r="M10" s="5"/>
      <c r="N10" s="109">
        <f>SUM(N5:N9)</f>
        <v>1.0001049647553113</v>
      </c>
      <c r="O10" s="109">
        <f t="shared" ref="O10:W10" si="2">SUM(O5:O9)</f>
        <v>1.000101202945912</v>
      </c>
      <c r="P10" s="109">
        <f t="shared" si="2"/>
        <v>1.0007220898386562</v>
      </c>
      <c r="Q10" s="109">
        <f t="shared" si="2"/>
        <v>1.0005985280380936</v>
      </c>
      <c r="R10" s="109">
        <f t="shared" si="2"/>
        <v>1.0000779853625894</v>
      </c>
      <c r="S10" s="109">
        <f t="shared" si="2"/>
        <v>1.0007707906819243</v>
      </c>
      <c r="T10" s="109">
        <f t="shared" si="2"/>
        <v>1.0000094146069203</v>
      </c>
      <c r="U10" s="109">
        <f t="shared" si="2"/>
        <v>1.0007190053364887</v>
      </c>
      <c r="V10" s="109">
        <f t="shared" si="2"/>
        <v>1.0007453811726243</v>
      </c>
      <c r="W10" s="110">
        <f t="shared" si="2"/>
        <v>1.0006774864636669</v>
      </c>
    </row>
  </sheetData>
  <sheetProtection algorithmName="SHA-512" hashValue="Y+ow52eiUXW2R77OODLe1jNuAv2Rog74O2d5pYzrr9N6+AhGGya21anXxNEOvWr5V3X18gvVGUhnuFI+tjgtrw==" saltValue="azqdKR8WTmf2sMmyTkRbfA==" spinCount="100000" sheet="1" objects="1" scenarios="1"/>
  <mergeCells count="1">
    <mergeCell ref="G1:Q1"/>
  </mergeCells>
  <pageMargins left="0.7" right="0.7" top="0.75" bottom="0.75" header="0.3" footer="0.3"/>
  <pageSetup orientation="portrait" horizontalDpi="0"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sheetPr>
    <tabColor rgb="FFFF0000"/>
  </sheetPr>
  <dimension ref="A1:P32"/>
  <sheetViews>
    <sheetView workbookViewId="0">
      <selection activeCell="D10" sqref="D10"/>
    </sheetView>
  </sheetViews>
  <sheetFormatPr defaultRowHeight="12.75" x14ac:dyDescent="0.2"/>
  <cols>
    <col min="1" max="1" width="4" customWidth="1"/>
    <col min="2" max="2" width="22" customWidth="1"/>
    <col min="3" max="3" width="13.5703125" customWidth="1"/>
    <col min="4" max="4" width="13.42578125" customWidth="1"/>
    <col min="5" max="8" width="10.5703125" bestFit="1" customWidth="1"/>
    <col min="9" max="9" width="12.140625" customWidth="1"/>
    <col min="10" max="10" width="12.7109375" customWidth="1"/>
    <col min="11" max="11" width="13.7109375" customWidth="1"/>
    <col min="12" max="12" width="10.140625" customWidth="1"/>
  </cols>
  <sheetData>
    <row r="1" spans="1:16" ht="20.25" x14ac:dyDescent="0.3">
      <c r="B1" s="105" t="s">
        <v>172</v>
      </c>
      <c r="F1" s="222" t="s">
        <v>173</v>
      </c>
      <c r="G1" s="223"/>
      <c r="H1" s="223"/>
      <c r="I1" s="223"/>
      <c r="J1" s="223"/>
      <c r="K1" s="223"/>
      <c r="L1" s="223"/>
      <c r="M1" s="223"/>
      <c r="N1" s="223"/>
      <c r="O1" s="223"/>
      <c r="P1" s="224"/>
    </row>
    <row r="2" spans="1:16" x14ac:dyDescent="0.2">
      <c r="B2">
        <v>1</v>
      </c>
      <c r="C2">
        <v>2</v>
      </c>
      <c r="D2">
        <v>3</v>
      </c>
      <c r="E2">
        <v>4</v>
      </c>
      <c r="F2">
        <v>5</v>
      </c>
      <c r="G2">
        <v>6</v>
      </c>
      <c r="H2">
        <v>7</v>
      </c>
      <c r="I2">
        <v>8</v>
      </c>
      <c r="J2">
        <v>9</v>
      </c>
      <c r="K2">
        <v>10</v>
      </c>
      <c r="L2">
        <v>11</v>
      </c>
    </row>
    <row r="3" spans="1:16" ht="15.75" x14ac:dyDescent="0.25">
      <c r="B3" s="103" t="s">
        <v>31</v>
      </c>
    </row>
    <row r="4" spans="1:16" x14ac:dyDescent="0.2">
      <c r="B4" s="116" t="s">
        <v>171</v>
      </c>
      <c r="C4" s="117"/>
      <c r="D4" s="117"/>
      <c r="E4" s="117"/>
      <c r="F4" s="117"/>
      <c r="G4" s="117"/>
      <c r="H4" s="117"/>
      <c r="I4" s="117"/>
      <c r="J4" s="117"/>
      <c r="K4" s="117"/>
      <c r="L4" s="117"/>
    </row>
    <row r="5" spans="1:16" s="11" customFormat="1" ht="51" x14ac:dyDescent="0.2">
      <c r="B5" s="113"/>
      <c r="C5" s="114" t="s">
        <v>7</v>
      </c>
      <c r="D5" s="114" t="s">
        <v>6</v>
      </c>
      <c r="E5" s="114" t="s">
        <v>4</v>
      </c>
      <c r="F5" s="114" t="s">
        <v>5</v>
      </c>
      <c r="G5" s="114" t="s">
        <v>3</v>
      </c>
      <c r="H5" s="114" t="s">
        <v>24</v>
      </c>
      <c r="I5" s="114" t="s">
        <v>8</v>
      </c>
      <c r="J5" s="114" t="s">
        <v>1</v>
      </c>
      <c r="K5" s="114" t="s">
        <v>2</v>
      </c>
      <c r="L5" s="114" t="s">
        <v>0</v>
      </c>
    </row>
    <row r="6" spans="1:16" x14ac:dyDescent="0.2">
      <c r="A6">
        <v>1</v>
      </c>
      <c r="B6" s="53" t="s">
        <v>13</v>
      </c>
      <c r="C6" s="118">
        <v>279.2622510738916</v>
      </c>
      <c r="D6" s="118">
        <v>186.73355573221392</v>
      </c>
      <c r="E6" s="118">
        <v>196.1024855720309</v>
      </c>
      <c r="F6" s="118">
        <v>425.392836403047</v>
      </c>
      <c r="G6" s="118">
        <v>185.74103768546928</v>
      </c>
      <c r="H6" s="118">
        <v>193.35027205970331</v>
      </c>
      <c r="I6" s="118">
        <v>160.57342415314608</v>
      </c>
      <c r="J6" s="118">
        <v>159.33393256876246</v>
      </c>
      <c r="K6" s="118">
        <v>64.712209634163415</v>
      </c>
      <c r="L6" s="118">
        <v>149.48804372999638</v>
      </c>
    </row>
    <row r="7" spans="1:16" x14ac:dyDescent="0.2">
      <c r="A7">
        <v>2</v>
      </c>
      <c r="B7" s="53" t="s">
        <v>12</v>
      </c>
      <c r="C7" s="118">
        <v>76.684990734211141</v>
      </c>
      <c r="D7" s="118">
        <v>55.077900673668822</v>
      </c>
      <c r="E7" s="118">
        <v>50.961173997840035</v>
      </c>
      <c r="F7" s="118">
        <v>73.06705222872651</v>
      </c>
      <c r="G7" s="118">
        <v>51.977947991385541</v>
      </c>
      <c r="H7" s="118">
        <v>44.917021990844617</v>
      </c>
      <c r="I7" s="118">
        <v>47.918068746377394</v>
      </c>
      <c r="J7" s="118">
        <v>52.228385608780286</v>
      </c>
      <c r="K7" s="118">
        <v>55.070821203947915</v>
      </c>
      <c r="L7" s="118">
        <v>48.2793019676527</v>
      </c>
    </row>
    <row r="8" spans="1:16" x14ac:dyDescent="0.2">
      <c r="A8">
        <v>3</v>
      </c>
      <c r="B8" s="53" t="s">
        <v>16</v>
      </c>
      <c r="C8" s="118">
        <v>236.98117281445022</v>
      </c>
      <c r="D8" s="118">
        <v>181.16730451039081</v>
      </c>
      <c r="E8" s="118">
        <v>152.49698954898537</v>
      </c>
      <c r="F8" s="118">
        <v>278.85010006680511</v>
      </c>
      <c r="G8" s="118">
        <v>185.88247899940123</v>
      </c>
      <c r="H8" s="118">
        <v>168.85401237153599</v>
      </c>
      <c r="I8" s="118">
        <v>153.68808634487951</v>
      </c>
      <c r="J8" s="118">
        <v>210.69230820847358</v>
      </c>
      <c r="K8" s="118">
        <v>144.85735430509266</v>
      </c>
      <c r="L8" s="118">
        <v>150.19769888567998</v>
      </c>
    </row>
    <row r="9" spans="1:16" x14ac:dyDescent="0.2">
      <c r="A9">
        <v>4</v>
      </c>
      <c r="B9" s="53" t="s">
        <v>11</v>
      </c>
      <c r="C9" s="118">
        <v>95.216386135223658</v>
      </c>
      <c r="D9" s="118">
        <v>62.810689597543146</v>
      </c>
      <c r="E9" s="118">
        <v>62.04170246033933</v>
      </c>
      <c r="F9" s="118">
        <v>102.73369776112838</v>
      </c>
      <c r="G9" s="118">
        <v>75.916370854394145</v>
      </c>
      <c r="H9" s="118">
        <v>60.366849776786289</v>
      </c>
      <c r="I9" s="118">
        <v>54.954470376064485</v>
      </c>
      <c r="J9" s="118">
        <v>69.420964811054404</v>
      </c>
      <c r="K9" s="118">
        <v>46.529959432612699</v>
      </c>
      <c r="L9" s="118">
        <v>61.232551139437639</v>
      </c>
    </row>
    <row r="10" spans="1:16" x14ac:dyDescent="0.2">
      <c r="A10">
        <v>5</v>
      </c>
      <c r="B10" s="117" t="s">
        <v>10</v>
      </c>
      <c r="C10" s="118">
        <v>1109.27474485579</v>
      </c>
      <c r="D10" s="118">
        <v>821.59706381393846</v>
      </c>
      <c r="E10" s="118">
        <v>747.2263317359027</v>
      </c>
      <c r="F10" s="118">
        <v>1107.5211029868562</v>
      </c>
      <c r="G10" s="118">
        <v>829.0489001338168</v>
      </c>
      <c r="H10" s="118">
        <v>665.56736170016961</v>
      </c>
      <c r="I10" s="118">
        <v>728.94027852098054</v>
      </c>
      <c r="J10" s="118">
        <v>787.84439131423221</v>
      </c>
      <c r="K10" s="118">
        <v>788.25732955516162</v>
      </c>
      <c r="L10" s="118">
        <v>720.53331626271279</v>
      </c>
    </row>
    <row r="11" spans="1:16" x14ac:dyDescent="0.2">
      <c r="A11">
        <v>6</v>
      </c>
      <c r="B11" s="53" t="s">
        <v>14</v>
      </c>
      <c r="C11" s="118">
        <v>160.82630857758801</v>
      </c>
      <c r="D11" s="118">
        <v>89.106167748969725</v>
      </c>
      <c r="E11" s="118">
        <v>86.550286064916335</v>
      </c>
      <c r="F11" s="118">
        <v>206.36888703177522</v>
      </c>
      <c r="G11" s="118">
        <v>90.646791158715487</v>
      </c>
      <c r="H11" s="118">
        <v>37.578767770537596</v>
      </c>
      <c r="I11" s="118">
        <v>80.080127132546124</v>
      </c>
      <c r="J11" s="118">
        <v>85.76580519362814</v>
      </c>
      <c r="K11" s="118">
        <v>40.536206302579586</v>
      </c>
      <c r="L11" s="118">
        <v>71.717969988484754</v>
      </c>
    </row>
    <row r="12" spans="1:16" x14ac:dyDescent="0.2">
      <c r="B12" s="12"/>
      <c r="C12" s="14">
        <f t="shared" ref="C12:L12" si="0">SUM(C6:C11)</f>
        <v>1958.2458541911546</v>
      </c>
      <c r="D12" s="14">
        <f t="shared" si="0"/>
        <v>1396.4926820767248</v>
      </c>
      <c r="E12" s="14">
        <f t="shared" si="0"/>
        <v>1295.3789693800145</v>
      </c>
      <c r="F12" s="14">
        <f t="shared" si="0"/>
        <v>2193.9336764783384</v>
      </c>
      <c r="G12" s="14">
        <f t="shared" si="0"/>
        <v>1419.2135268231825</v>
      </c>
      <c r="H12" s="14">
        <f t="shared" si="0"/>
        <v>1170.6342856695774</v>
      </c>
      <c r="I12" s="14">
        <f t="shared" si="0"/>
        <v>1226.154455273994</v>
      </c>
      <c r="J12" s="14">
        <f t="shared" si="0"/>
        <v>1365.2857877049312</v>
      </c>
      <c r="K12" s="14">
        <f t="shared" si="0"/>
        <v>1139.9638804335577</v>
      </c>
      <c r="L12" s="14">
        <f t="shared" si="0"/>
        <v>1201.4488819739643</v>
      </c>
    </row>
    <row r="14" spans="1:16" x14ac:dyDescent="0.2">
      <c r="B14" s="1">
        <v>1</v>
      </c>
      <c r="C14" s="122">
        <v>2</v>
      </c>
      <c r="D14" s="122">
        <v>3</v>
      </c>
      <c r="E14" s="122">
        <v>4</v>
      </c>
      <c r="F14" s="122">
        <v>5</v>
      </c>
      <c r="G14" s="122">
        <v>6</v>
      </c>
      <c r="H14" s="122">
        <v>7</v>
      </c>
      <c r="I14" s="122">
        <v>8</v>
      </c>
      <c r="J14" s="122">
        <v>9</v>
      </c>
      <c r="K14" s="122">
        <v>10</v>
      </c>
      <c r="L14" s="122">
        <v>11</v>
      </c>
    </row>
    <row r="15" spans="1:16" ht="51" x14ac:dyDescent="0.2">
      <c r="B15" s="66" t="s">
        <v>98</v>
      </c>
      <c r="C15" s="16" t="str">
        <f>Intensities!C5</f>
        <v>Accommodation and Food Services</v>
      </c>
      <c r="D15" s="16" t="str">
        <f>Intensities!D5</f>
        <v>Arts, Entertainment and Recreation</v>
      </c>
      <c r="E15" s="16" t="str">
        <f>Intensities!E5</f>
        <v>Educational Services</v>
      </c>
      <c r="F15" s="16" t="str">
        <f>Intensities!F5</f>
        <v>Health Care and Social Assistance</v>
      </c>
      <c r="G15" s="16" t="str">
        <f>Intensities!G5</f>
        <v>Information and Cultural Industries</v>
      </c>
      <c r="H15" s="16" t="str">
        <f>Intensities!H5</f>
        <v>Offices</v>
      </c>
      <c r="I15" s="16" t="str">
        <f>Intensities!I5</f>
        <v>Other Services</v>
      </c>
      <c r="J15" s="16" t="str">
        <f>Intensities!J5</f>
        <v>Retail Trade</v>
      </c>
      <c r="K15" s="16" t="str">
        <f>Intensities!K5</f>
        <v>Transportation and Warehousing</v>
      </c>
      <c r="L15" s="16" t="str">
        <f>Intensities!L5</f>
        <v>Wholesale Trade</v>
      </c>
    </row>
    <row r="16" spans="1:16" x14ac:dyDescent="0.2">
      <c r="A16">
        <v>1</v>
      </c>
      <c r="B16" s="15" t="s">
        <v>13</v>
      </c>
      <c r="C16" s="41">
        <f>'CI BUILDING DEEP RETROFIT'!I8</f>
        <v>-0.1</v>
      </c>
      <c r="D16" s="41">
        <f>'CI BUILDING DEEP RETROFIT'!I9</f>
        <v>-0.1</v>
      </c>
      <c r="E16" s="41">
        <f>'CI BUILDING DEEP RETROFIT'!I7</f>
        <v>-0.1</v>
      </c>
      <c r="F16" s="41">
        <f>'CI BUILDING DEEP RETROFIT'!I6</f>
        <v>-0.1</v>
      </c>
      <c r="G16" s="41">
        <f>'CI BUILDING DEEP RETROFIT'!I10</f>
        <v>-0.1</v>
      </c>
      <c r="H16" s="41">
        <f>'CI BUILDING DEEP RETROFIT'!I4</f>
        <v>-0.1</v>
      </c>
      <c r="I16" s="41">
        <f>'CI BUILDING DEEP RETROFIT'!I13</f>
        <v>-0.1</v>
      </c>
      <c r="J16" s="41">
        <f>'CI BUILDING DEEP RETROFIT'!I5</f>
        <v>-0.1</v>
      </c>
      <c r="K16" s="41">
        <f>'CI BUILDING DEEP RETROFIT'!I12</f>
        <v>-0.1</v>
      </c>
      <c r="L16" s="41">
        <f>'CI BUILDING DEEP RETROFIT'!I11</f>
        <v>-0.1</v>
      </c>
    </row>
    <row r="17" spans="1:12" x14ac:dyDescent="0.2">
      <c r="A17">
        <v>2</v>
      </c>
      <c r="B17" s="15" t="s">
        <v>12</v>
      </c>
      <c r="C17" s="41">
        <f>'CI BUILDING DEEP RETROFIT'!F8</f>
        <v>-0.5</v>
      </c>
      <c r="D17" s="41">
        <f>'CI BUILDING DEEP RETROFIT'!F9</f>
        <v>-0.5</v>
      </c>
      <c r="E17" s="41">
        <f>'CI BUILDING DEEP RETROFIT'!F7</f>
        <v>-0.5</v>
      </c>
      <c r="F17" s="41">
        <f>'CI BUILDING DEEP RETROFIT'!F6</f>
        <v>-0.5</v>
      </c>
      <c r="G17" s="41">
        <f>'CI BUILDING DEEP RETROFIT'!F10</f>
        <v>-0.5</v>
      </c>
      <c r="H17" s="41">
        <f>'CI BUILDING DEEP RETROFIT'!F4</f>
        <v>-0.5</v>
      </c>
      <c r="I17" s="41">
        <f>'CI BUILDING DEEP RETROFIT'!F13</f>
        <v>-0.5</v>
      </c>
      <c r="J17" s="41">
        <f>'CI BUILDING DEEP RETROFIT'!F5</f>
        <v>-0.5</v>
      </c>
      <c r="K17" s="41">
        <f>'CI BUILDING DEEP RETROFIT'!F12</f>
        <v>-0.5</v>
      </c>
      <c r="L17" s="41">
        <f>'CI BUILDING DEEP RETROFIT'!F11</f>
        <v>-0.5</v>
      </c>
    </row>
    <row r="18" spans="1:12" x14ac:dyDescent="0.2">
      <c r="A18">
        <v>3</v>
      </c>
      <c r="B18" s="15" t="s">
        <v>16</v>
      </c>
      <c r="C18" s="41">
        <f>'CI BUILDING DEEP RETROFIT'!H8</f>
        <v>-0.5</v>
      </c>
      <c r="D18" s="41">
        <f>'CI BUILDING DEEP RETROFIT'!H9</f>
        <v>-0.5</v>
      </c>
      <c r="E18" s="41">
        <f>'CI BUILDING DEEP RETROFIT'!H7</f>
        <v>-0.5</v>
      </c>
      <c r="F18" s="41">
        <f>'CI BUILDING DEEP RETROFIT'!H6</f>
        <v>-0.5</v>
      </c>
      <c r="G18" s="41">
        <f>'CI BUILDING DEEP RETROFIT'!H10</f>
        <v>-0.5</v>
      </c>
      <c r="H18" s="41">
        <f>'CI BUILDING DEEP RETROFIT'!H4</f>
        <v>-0.5</v>
      </c>
      <c r="I18" s="41">
        <f>'CI BUILDING DEEP RETROFIT'!H13</f>
        <v>-0.5</v>
      </c>
      <c r="J18" s="41">
        <f>'CI BUILDING DEEP RETROFIT'!H5</f>
        <v>-0.5</v>
      </c>
      <c r="K18" s="41">
        <f>'CI BUILDING DEEP RETROFIT'!H12</f>
        <v>-0.5</v>
      </c>
      <c r="L18" s="41">
        <f>'CI BUILDING DEEP RETROFIT'!H11</f>
        <v>-0.5</v>
      </c>
    </row>
    <row r="19" spans="1:12" x14ac:dyDescent="0.2">
      <c r="A19">
        <v>4</v>
      </c>
      <c r="B19" s="15" t="s">
        <v>11</v>
      </c>
      <c r="C19" s="41">
        <f>'CI BUILDING DEEP RETROFIT'!G8</f>
        <v>0</v>
      </c>
      <c r="D19" s="41">
        <f>'CI BUILDING DEEP RETROFIT'!G9</f>
        <v>0</v>
      </c>
      <c r="E19" s="41">
        <f>'CI BUILDING DEEP RETROFIT'!G7</f>
        <v>0</v>
      </c>
      <c r="F19" s="41">
        <f>'CI BUILDING DEEP RETROFIT'!G6</f>
        <v>0</v>
      </c>
      <c r="G19" s="41">
        <f>'CI BUILDING DEEP RETROFIT'!G10</f>
        <v>0</v>
      </c>
      <c r="H19" s="41">
        <f>'CI BUILDING DEEP RETROFIT'!G4</f>
        <v>0</v>
      </c>
      <c r="I19" s="41">
        <f>'CI BUILDING DEEP RETROFIT'!G13</f>
        <v>0</v>
      </c>
      <c r="J19" s="41">
        <f>'CI BUILDING DEEP RETROFIT'!G5</f>
        <v>0</v>
      </c>
      <c r="K19" s="41">
        <f>'CI BUILDING DEEP RETROFIT'!G12</f>
        <v>0</v>
      </c>
      <c r="L19" s="41">
        <f>'CI BUILDING DEEP RETROFIT'!G11</f>
        <v>0</v>
      </c>
    </row>
    <row r="20" spans="1:12" x14ac:dyDescent="0.2">
      <c r="A20">
        <v>5</v>
      </c>
      <c r="B20" s="67" t="str">
        <f>Intensities!B10</f>
        <v>Space Heating</v>
      </c>
      <c r="C20" s="41">
        <f>'CI BUILDING DEEP RETROFIT'!D8</f>
        <v>0.33</v>
      </c>
      <c r="D20" s="41">
        <f>'CI BUILDING DEEP RETROFIT'!D9</f>
        <v>0.33</v>
      </c>
      <c r="E20" s="41">
        <f>'CI BUILDING DEEP RETROFIT'!D7</f>
        <v>0.33</v>
      </c>
      <c r="F20" s="41">
        <f>'CI BUILDING DEEP RETROFIT'!D6</f>
        <v>0.33</v>
      </c>
      <c r="G20" s="41">
        <f>'CI BUILDING DEEP RETROFIT'!D10</f>
        <v>0.33</v>
      </c>
      <c r="H20" s="41">
        <f>'CI BUILDING DEEP RETROFIT'!D4</f>
        <v>0.33</v>
      </c>
      <c r="I20" s="41">
        <f>'CI BUILDING DEEP RETROFIT'!D13</f>
        <v>0.33</v>
      </c>
      <c r="J20" s="41">
        <f>'CI BUILDING DEEP RETROFIT'!D5</f>
        <v>0.33</v>
      </c>
      <c r="K20" s="41">
        <f>'CI BUILDING DEEP RETROFIT'!D12</f>
        <v>0.33</v>
      </c>
      <c r="L20" s="41">
        <f>'CI BUILDING DEEP RETROFIT'!D11</f>
        <v>0.33</v>
      </c>
    </row>
    <row r="21" spans="1:12" x14ac:dyDescent="0.2">
      <c r="A21">
        <v>6</v>
      </c>
      <c r="B21" s="15" t="s">
        <v>14</v>
      </c>
      <c r="C21" s="41">
        <v>0</v>
      </c>
      <c r="D21" s="41">
        <v>0</v>
      </c>
      <c r="E21" s="41">
        <v>0</v>
      </c>
      <c r="F21" s="41">
        <v>0</v>
      </c>
      <c r="G21" s="41">
        <v>0</v>
      </c>
      <c r="H21" s="41">
        <v>0</v>
      </c>
      <c r="I21" s="41">
        <v>0</v>
      </c>
      <c r="J21" s="41">
        <v>0</v>
      </c>
      <c r="K21" s="41">
        <v>0</v>
      </c>
      <c r="L21" s="41">
        <v>0</v>
      </c>
    </row>
    <row r="22" spans="1:12" ht="15.75" customHeight="1" x14ac:dyDescent="0.2"/>
    <row r="23" spans="1:12" ht="15.75" customHeight="1" x14ac:dyDescent="0.2">
      <c r="B23">
        <v>1</v>
      </c>
      <c r="C23">
        <v>2</v>
      </c>
      <c r="D23">
        <v>3</v>
      </c>
      <c r="E23">
        <v>4</v>
      </c>
      <c r="F23">
        <v>5</v>
      </c>
      <c r="G23">
        <v>6</v>
      </c>
      <c r="H23">
        <v>7</v>
      </c>
      <c r="I23">
        <v>8</v>
      </c>
      <c r="J23">
        <v>9</v>
      </c>
      <c r="K23">
        <v>10</v>
      </c>
      <c r="L23">
        <v>11</v>
      </c>
    </row>
    <row r="24" spans="1:12" x14ac:dyDescent="0.2">
      <c r="B24" s="120" t="s">
        <v>170</v>
      </c>
      <c r="C24" s="17">
        <v>2030</v>
      </c>
      <c r="D24" s="17">
        <v>2030</v>
      </c>
      <c r="E24" s="17">
        <v>2030</v>
      </c>
      <c r="F24" s="17">
        <v>2030</v>
      </c>
      <c r="G24" s="17">
        <v>2030</v>
      </c>
      <c r="H24" s="17">
        <v>2030</v>
      </c>
      <c r="I24" s="17">
        <v>2030</v>
      </c>
      <c r="J24" s="17">
        <v>2030</v>
      </c>
      <c r="K24" s="17">
        <v>2030</v>
      </c>
      <c r="L24" s="17">
        <v>2030</v>
      </c>
    </row>
    <row r="25" spans="1:12" ht="53.25" customHeight="1" x14ac:dyDescent="0.2">
      <c r="B25" s="17"/>
      <c r="C25" s="121" t="s">
        <v>7</v>
      </c>
      <c r="D25" s="121" t="s">
        <v>6</v>
      </c>
      <c r="E25" s="121" t="s">
        <v>4</v>
      </c>
      <c r="F25" s="121" t="s">
        <v>5</v>
      </c>
      <c r="G25" s="121" t="s">
        <v>3</v>
      </c>
      <c r="H25" s="121" t="s">
        <v>24</v>
      </c>
      <c r="I25" s="121" t="s">
        <v>8</v>
      </c>
      <c r="J25" s="121" t="s">
        <v>1</v>
      </c>
      <c r="K25" s="121" t="s">
        <v>2</v>
      </c>
      <c r="L25" s="121" t="s">
        <v>0</v>
      </c>
    </row>
    <row r="26" spans="1:12" x14ac:dyDescent="0.2">
      <c r="A26">
        <v>1</v>
      </c>
      <c r="B26" s="17" t="s">
        <v>13</v>
      </c>
      <c r="C26" s="18">
        <f t="shared" ref="C26:L26" si="1">C6*(1+C16)</f>
        <v>251.33602596650246</v>
      </c>
      <c r="D26" s="18">
        <f t="shared" si="1"/>
        <v>168.06020015899253</v>
      </c>
      <c r="E26" s="18">
        <f t="shared" si="1"/>
        <v>176.49223701482782</v>
      </c>
      <c r="F26" s="18">
        <f t="shared" si="1"/>
        <v>382.85355276274231</v>
      </c>
      <c r="G26" s="18">
        <f t="shared" si="1"/>
        <v>167.16693391692235</v>
      </c>
      <c r="H26" s="18">
        <f t="shared" si="1"/>
        <v>174.01524485373298</v>
      </c>
      <c r="I26" s="18">
        <f t="shared" si="1"/>
        <v>144.51608173783148</v>
      </c>
      <c r="J26" s="18">
        <f t="shared" si="1"/>
        <v>143.40053931188623</v>
      </c>
      <c r="K26" s="18">
        <f t="shared" si="1"/>
        <v>58.240988670747072</v>
      </c>
      <c r="L26" s="18">
        <f t="shared" si="1"/>
        <v>134.53923935699675</v>
      </c>
    </row>
    <row r="27" spans="1:12" x14ac:dyDescent="0.2">
      <c r="A27">
        <v>2</v>
      </c>
      <c r="B27" s="17" t="s">
        <v>12</v>
      </c>
      <c r="C27" s="119">
        <f t="shared" ref="C27:L27" si="2">C7*(1+C17)</f>
        <v>38.34249536710557</v>
      </c>
      <c r="D27" s="119">
        <f t="shared" si="2"/>
        <v>27.538950336834411</v>
      </c>
      <c r="E27" s="119">
        <f t="shared" si="2"/>
        <v>25.480586998920018</v>
      </c>
      <c r="F27" s="119">
        <f t="shared" si="2"/>
        <v>36.533526114363255</v>
      </c>
      <c r="G27" s="119">
        <f t="shared" si="2"/>
        <v>25.988973995692771</v>
      </c>
      <c r="H27" s="119">
        <f t="shared" si="2"/>
        <v>22.458510995422309</v>
      </c>
      <c r="I27" s="119">
        <f t="shared" si="2"/>
        <v>23.959034373188697</v>
      </c>
      <c r="J27" s="119">
        <f t="shared" si="2"/>
        <v>26.114192804390143</v>
      </c>
      <c r="K27" s="119">
        <f t="shared" si="2"/>
        <v>27.535410601973958</v>
      </c>
      <c r="L27" s="119">
        <f t="shared" si="2"/>
        <v>24.13965098382635</v>
      </c>
    </row>
    <row r="28" spans="1:12" x14ac:dyDescent="0.2">
      <c r="A28">
        <v>3</v>
      </c>
      <c r="B28" s="17" t="s">
        <v>16</v>
      </c>
      <c r="C28" s="119">
        <f t="shared" ref="C28:L28" si="3">C8*(1+C18)</f>
        <v>118.49058640722511</v>
      </c>
      <c r="D28" s="119">
        <f t="shared" si="3"/>
        <v>90.583652255195403</v>
      </c>
      <c r="E28" s="119">
        <f t="shared" si="3"/>
        <v>76.248494774492684</v>
      </c>
      <c r="F28" s="119">
        <f t="shared" si="3"/>
        <v>139.42505003340256</v>
      </c>
      <c r="G28" s="119">
        <f t="shared" si="3"/>
        <v>92.941239499700615</v>
      </c>
      <c r="H28" s="119">
        <f t="shared" si="3"/>
        <v>84.427006185767993</v>
      </c>
      <c r="I28" s="119">
        <f t="shared" si="3"/>
        <v>76.844043172439754</v>
      </c>
      <c r="J28" s="119">
        <f t="shared" si="3"/>
        <v>105.34615410423679</v>
      </c>
      <c r="K28" s="119">
        <f t="shared" si="3"/>
        <v>72.428677152546328</v>
      </c>
      <c r="L28" s="119">
        <f t="shared" si="3"/>
        <v>75.098849442839992</v>
      </c>
    </row>
    <row r="29" spans="1:12" x14ac:dyDescent="0.2">
      <c r="A29">
        <v>4</v>
      </c>
      <c r="B29" s="17" t="s">
        <v>11</v>
      </c>
      <c r="C29" s="119">
        <f t="shared" ref="C29:L29" si="4">C9*(1+C19)</f>
        <v>95.216386135223658</v>
      </c>
      <c r="D29" s="119">
        <f t="shared" si="4"/>
        <v>62.810689597543146</v>
      </c>
      <c r="E29" s="119">
        <f t="shared" si="4"/>
        <v>62.04170246033933</v>
      </c>
      <c r="F29" s="119">
        <f t="shared" si="4"/>
        <v>102.73369776112838</v>
      </c>
      <c r="G29" s="119">
        <f t="shared" si="4"/>
        <v>75.916370854394145</v>
      </c>
      <c r="H29" s="119">
        <f t="shared" si="4"/>
        <v>60.366849776786289</v>
      </c>
      <c r="I29" s="119">
        <f t="shared" si="4"/>
        <v>54.954470376064485</v>
      </c>
      <c r="J29" s="119">
        <f t="shared" si="4"/>
        <v>69.420964811054404</v>
      </c>
      <c r="K29" s="119">
        <f t="shared" si="4"/>
        <v>46.529959432612699</v>
      </c>
      <c r="L29" s="119">
        <f t="shared" si="4"/>
        <v>61.232551139437639</v>
      </c>
    </row>
    <row r="30" spans="1:12" x14ac:dyDescent="0.2">
      <c r="A30">
        <v>5</v>
      </c>
      <c r="B30" s="108" t="s">
        <v>10</v>
      </c>
      <c r="C30" s="119">
        <f t="shared" ref="C30:L30" si="5">C10*(1-C20)</f>
        <v>743.21407905337924</v>
      </c>
      <c r="D30" s="119">
        <f t="shared" si="5"/>
        <v>550.47003275533871</v>
      </c>
      <c r="E30" s="119">
        <f t="shared" si="5"/>
        <v>500.64164226305473</v>
      </c>
      <c r="F30" s="119">
        <f t="shared" si="5"/>
        <v>742.03913900119358</v>
      </c>
      <c r="G30" s="119">
        <f t="shared" si="5"/>
        <v>555.46276308965719</v>
      </c>
      <c r="H30" s="119">
        <f t="shared" si="5"/>
        <v>445.93013233911358</v>
      </c>
      <c r="I30" s="119">
        <f t="shared" si="5"/>
        <v>488.3899866090569</v>
      </c>
      <c r="J30" s="119">
        <f t="shared" si="5"/>
        <v>527.85574218053557</v>
      </c>
      <c r="K30" s="119">
        <f t="shared" si="5"/>
        <v>528.13241080195826</v>
      </c>
      <c r="L30" s="119">
        <f t="shared" si="5"/>
        <v>482.75732189601752</v>
      </c>
    </row>
    <row r="31" spans="1:12" x14ac:dyDescent="0.2">
      <c r="A31">
        <v>6</v>
      </c>
      <c r="B31" s="17" t="s">
        <v>14</v>
      </c>
      <c r="C31" s="119">
        <f t="shared" ref="C31:L31" si="6">C11*(1+C21)</f>
        <v>160.82630857758801</v>
      </c>
      <c r="D31" s="119">
        <f t="shared" si="6"/>
        <v>89.106167748969725</v>
      </c>
      <c r="E31" s="119">
        <f t="shared" si="6"/>
        <v>86.550286064916335</v>
      </c>
      <c r="F31" s="119">
        <f t="shared" si="6"/>
        <v>206.36888703177522</v>
      </c>
      <c r="G31" s="119">
        <f t="shared" si="6"/>
        <v>90.646791158715487</v>
      </c>
      <c r="H31" s="119">
        <f t="shared" si="6"/>
        <v>37.578767770537596</v>
      </c>
      <c r="I31" s="119">
        <f t="shared" si="6"/>
        <v>80.080127132546124</v>
      </c>
      <c r="J31" s="119">
        <f t="shared" si="6"/>
        <v>85.76580519362814</v>
      </c>
      <c r="K31" s="119">
        <f t="shared" si="6"/>
        <v>40.536206302579586</v>
      </c>
      <c r="L31" s="119">
        <f t="shared" si="6"/>
        <v>71.717969988484754</v>
      </c>
    </row>
    <row r="32" spans="1:12" x14ac:dyDescent="0.2">
      <c r="B32" s="17"/>
      <c r="C32" s="119">
        <f>SUM(C26:C31)</f>
        <v>1407.4258815070241</v>
      </c>
      <c r="D32" s="119">
        <f t="shared" ref="D32:L32" si="7">SUM(D26:D31)</f>
        <v>988.56969285287391</v>
      </c>
      <c r="E32" s="119">
        <f t="shared" si="7"/>
        <v>927.45494957655092</v>
      </c>
      <c r="F32" s="119">
        <f t="shared" si="7"/>
        <v>1609.9538527046052</v>
      </c>
      <c r="G32" s="119">
        <f t="shared" si="7"/>
        <v>1008.1230725150825</v>
      </c>
      <c r="H32" s="119">
        <f t="shared" si="7"/>
        <v>824.77651192136079</v>
      </c>
      <c r="I32" s="119">
        <f t="shared" si="7"/>
        <v>868.7437434011274</v>
      </c>
      <c r="J32" s="119">
        <f t="shared" si="7"/>
        <v>957.90339840573131</v>
      </c>
      <c r="K32" s="119">
        <f t="shared" si="7"/>
        <v>773.40365296241794</v>
      </c>
      <c r="L32" s="119">
        <f t="shared" si="7"/>
        <v>849.48558280760312</v>
      </c>
    </row>
  </sheetData>
  <sheetProtection algorithmName="SHA-512" hashValue="aruXq8RB7hjH8mpeXO8VYBH03nqVvtPfGmGJxLI4ZuG+ah2ogUnbjIY5ka6sfljDAyeC99YmEJtm4wHi0AsVHg==" saltValue="EVrr4s5wU8IhGosIwsgOpQ==" spinCount="100000" sheet="1" objects="1" scenarios="1"/>
  <mergeCells count="1">
    <mergeCell ref="F1:P1"/>
  </mergeCells>
  <pageMargins left="0.7" right="0.7" top="0.75" bottom="0.75" header="0.3" footer="0.3"/>
  <pageSetup orientation="portrait" horizontalDpi="0"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000-000000000000}">
  <sheetPr>
    <tabColor rgb="FFFF0000"/>
  </sheetPr>
  <dimension ref="A1:C13"/>
  <sheetViews>
    <sheetView workbookViewId="0">
      <selection activeCell="B33" sqref="B33"/>
    </sheetView>
  </sheetViews>
  <sheetFormatPr defaultRowHeight="12.75" x14ac:dyDescent="0.2"/>
  <cols>
    <col min="1" max="1" width="40.42578125" customWidth="1"/>
    <col min="2" max="2" width="11.7109375" customWidth="1"/>
    <col min="3" max="3" width="12.140625" customWidth="1"/>
  </cols>
  <sheetData>
    <row r="1" spans="1:3" x14ac:dyDescent="0.2">
      <c r="A1" s="225" t="s">
        <v>167</v>
      </c>
      <c r="B1" s="225"/>
      <c r="C1" s="225"/>
    </row>
    <row r="2" spans="1:3" x14ac:dyDescent="0.2">
      <c r="A2" s="100" t="s">
        <v>53</v>
      </c>
      <c r="B2" s="100" t="s">
        <v>165</v>
      </c>
      <c r="C2" s="100" t="s">
        <v>166</v>
      </c>
    </row>
    <row r="3" spans="1:3" x14ac:dyDescent="0.2">
      <c r="A3" s="50" t="s">
        <v>7</v>
      </c>
      <c r="B3" s="51">
        <v>40.149699999999903</v>
      </c>
      <c r="C3" s="51">
        <f>B3</f>
        <v>40.149699999999903</v>
      </c>
    </row>
    <row r="4" spans="1:3" x14ac:dyDescent="0.2">
      <c r="A4" s="50" t="s">
        <v>6</v>
      </c>
      <c r="B4" s="51">
        <v>17.8398</v>
      </c>
      <c r="C4" s="51">
        <f t="shared" ref="C4" si="0">B4</f>
        <v>17.8398</v>
      </c>
    </row>
    <row r="5" spans="1:3" x14ac:dyDescent="0.2">
      <c r="A5" s="50" t="s">
        <v>4</v>
      </c>
      <c r="B5" s="51">
        <v>101.2517</v>
      </c>
      <c r="C5" s="51">
        <f t="shared" ref="C5" si="1">B5</f>
        <v>101.2517</v>
      </c>
    </row>
    <row r="6" spans="1:3" x14ac:dyDescent="0.2">
      <c r="A6" s="50" t="s">
        <v>5</v>
      </c>
      <c r="B6" s="51">
        <v>62.797999999999902</v>
      </c>
      <c r="C6" s="51">
        <f t="shared" ref="C6" si="2">B6</f>
        <v>62.797999999999902</v>
      </c>
    </row>
    <row r="7" spans="1:3" x14ac:dyDescent="0.2">
      <c r="A7" s="50" t="s">
        <v>3</v>
      </c>
      <c r="B7" s="51">
        <v>14.6297</v>
      </c>
      <c r="C7" s="51">
        <f t="shared" ref="C7" si="3">B7</f>
        <v>14.6297</v>
      </c>
    </row>
    <row r="8" spans="1:3" x14ac:dyDescent="0.2">
      <c r="A8" s="52" t="s">
        <v>24</v>
      </c>
      <c r="B8" s="51">
        <v>308.64429999999902</v>
      </c>
      <c r="C8" s="51">
        <f t="shared" ref="C8" si="4">B8</f>
        <v>308.64429999999902</v>
      </c>
    </row>
    <row r="9" spans="1:3" x14ac:dyDescent="0.2">
      <c r="A9" s="50" t="s">
        <v>8</v>
      </c>
      <c r="B9" s="51">
        <v>12.5445999999999</v>
      </c>
      <c r="C9" s="51">
        <f t="shared" ref="C9" si="5">B9</f>
        <v>12.5445999999999</v>
      </c>
    </row>
    <row r="10" spans="1:3" x14ac:dyDescent="0.2">
      <c r="A10" s="50" t="s">
        <v>1</v>
      </c>
      <c r="B10" s="53">
        <v>118.38</v>
      </c>
      <c r="C10" s="51">
        <f t="shared" ref="C10" si="6">B10</f>
        <v>118.38</v>
      </c>
    </row>
    <row r="11" spans="1:3" x14ac:dyDescent="0.2">
      <c r="A11" s="50" t="s">
        <v>2</v>
      </c>
      <c r="B11" s="51">
        <v>32.844099999999898</v>
      </c>
      <c r="C11" s="51">
        <f t="shared" ref="C11" si="7">B11</f>
        <v>32.844099999999898</v>
      </c>
    </row>
    <row r="12" spans="1:3" x14ac:dyDescent="0.2">
      <c r="A12" s="50" t="s">
        <v>0</v>
      </c>
      <c r="B12" s="51">
        <v>45.088299999999897</v>
      </c>
      <c r="C12" s="51">
        <f t="shared" ref="C12" si="8">B12</f>
        <v>45.088299999999897</v>
      </c>
    </row>
    <row r="13" spans="1:3" x14ac:dyDescent="0.2">
      <c r="A13" s="98" t="s">
        <v>22</v>
      </c>
      <c r="B13" s="99">
        <f>SUM(B3:B12)</f>
        <v>754.17019999999866</v>
      </c>
      <c r="C13" s="99">
        <f>SUM(C3:C12)</f>
        <v>754.17019999999866</v>
      </c>
    </row>
  </sheetData>
  <sheetProtection algorithmName="SHA-512" hashValue="ktpnceiKdxKCKEs2chB21/HR5SRQG80CJYYROrs3QEhuHJqsbjW4j5a42ft9n8/8caHYPPPE4V+99u9Da9y5Fw==" saltValue="V0hryN+5RUQtEJZnN8KGQA==" spinCount="100000" sheet="1" objects="1" scenarios="1"/>
  <sortState xmlns:xlrd2="http://schemas.microsoft.com/office/spreadsheetml/2017/richdata2" ref="A3:C12">
    <sortCondition ref="A3:A12"/>
  </sortState>
  <mergeCells count="1">
    <mergeCell ref="A1:C1"/>
  </mergeCells>
  <pageMargins left="0.7" right="0.7" top="0.75" bottom="0.75" header="0.3" footer="0.3"/>
  <pageSetup orientation="portrait" horizontalDpi="0"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F95741-581B-4B2D-95B7-C16C80071725}">
  <dimension ref="A1:D26"/>
  <sheetViews>
    <sheetView workbookViewId="0">
      <selection activeCell="F16" sqref="F16"/>
    </sheetView>
  </sheetViews>
  <sheetFormatPr defaultRowHeight="15" x14ac:dyDescent="0.25"/>
  <cols>
    <col min="1" max="1" width="46.7109375" style="55" customWidth="1"/>
    <col min="2" max="2" width="13.28515625" style="55" bestFit="1" customWidth="1"/>
    <col min="3" max="3" width="14" style="55" customWidth="1"/>
    <col min="4" max="4" width="92.140625" style="55" customWidth="1"/>
    <col min="5" max="16384" width="9.140625" style="55"/>
  </cols>
  <sheetData>
    <row r="1" spans="1:4" x14ac:dyDescent="0.25">
      <c r="C1" s="55" t="s">
        <v>99</v>
      </c>
    </row>
    <row r="2" spans="1:4" x14ac:dyDescent="0.25">
      <c r="A2" s="69" t="s">
        <v>100</v>
      </c>
      <c r="B2" s="69">
        <v>35</v>
      </c>
      <c r="C2" s="69" t="s">
        <v>101</v>
      </c>
      <c r="D2" s="55" t="s">
        <v>102</v>
      </c>
    </row>
    <row r="3" spans="1:4" x14ac:dyDescent="0.25">
      <c r="A3" s="69" t="s">
        <v>103</v>
      </c>
      <c r="B3" s="71">
        <f>B2/278*1000</f>
        <v>125.89928057553956</v>
      </c>
      <c r="C3" s="69" t="s">
        <v>104</v>
      </c>
    </row>
    <row r="4" spans="1:4" x14ac:dyDescent="0.25">
      <c r="A4" s="69" t="s">
        <v>105</v>
      </c>
      <c r="B4" s="69">
        <v>49</v>
      </c>
      <c r="C4" s="69" t="s">
        <v>106</v>
      </c>
    </row>
    <row r="5" spans="1:4" x14ac:dyDescent="0.25">
      <c r="A5" s="69" t="s">
        <v>107</v>
      </c>
      <c r="B5" s="69">
        <v>70</v>
      </c>
      <c r="C5" s="69" t="s">
        <v>108</v>
      </c>
    </row>
    <row r="6" spans="1:4" x14ac:dyDescent="0.25">
      <c r="A6" s="69" t="s">
        <v>109</v>
      </c>
      <c r="B6" s="71">
        <f>'CI BUILDING DEEP RETROFIT'!J4*0.278</f>
        <v>34.75</v>
      </c>
      <c r="C6" s="69" t="s">
        <v>110</v>
      </c>
      <c r="D6" s="55" t="s">
        <v>111</v>
      </c>
    </row>
    <row r="7" spans="1:4" x14ac:dyDescent="0.25">
      <c r="A7" s="69" t="s">
        <v>103</v>
      </c>
      <c r="B7" s="71">
        <f>B6/278*1000</f>
        <v>125</v>
      </c>
      <c r="C7" s="69" t="s">
        <v>112</v>
      </c>
    </row>
    <row r="8" spans="1:4" x14ac:dyDescent="0.25">
      <c r="A8" s="69" t="s">
        <v>113</v>
      </c>
      <c r="B8" s="69">
        <v>10.7639</v>
      </c>
      <c r="C8" s="69" t="s">
        <v>114</v>
      </c>
    </row>
    <row r="9" spans="1:4" x14ac:dyDescent="0.25">
      <c r="A9" s="69" t="s">
        <v>115</v>
      </c>
      <c r="B9" s="69">
        <v>23</v>
      </c>
      <c r="C9" s="69" t="s">
        <v>116</v>
      </c>
    </row>
    <row r="10" spans="1:4" x14ac:dyDescent="0.25">
      <c r="A10" s="69" t="s">
        <v>117</v>
      </c>
      <c r="B10" s="69">
        <v>12</v>
      </c>
      <c r="C10" s="69" t="s">
        <v>118</v>
      </c>
      <c r="D10" s="226" t="s">
        <v>119</v>
      </c>
    </row>
    <row r="11" spans="1:4" x14ac:dyDescent="0.25">
      <c r="A11" s="69" t="s">
        <v>120</v>
      </c>
      <c r="B11" s="69">
        <v>32.804000000000002</v>
      </c>
      <c r="C11" s="69" t="s">
        <v>121</v>
      </c>
      <c r="D11" s="226"/>
    </row>
    <row r="12" spans="1:4" x14ac:dyDescent="0.25">
      <c r="A12" s="69" t="s">
        <v>122</v>
      </c>
      <c r="B12" s="69">
        <v>20</v>
      </c>
      <c r="C12" s="69" t="s">
        <v>123</v>
      </c>
      <c r="D12" s="226"/>
    </row>
    <row r="13" spans="1:4" x14ac:dyDescent="0.25">
      <c r="A13" s="69" t="s">
        <v>124</v>
      </c>
      <c r="B13" s="69">
        <v>13.333299999999999</v>
      </c>
      <c r="C13" s="69" t="s">
        <v>125</v>
      </c>
      <c r="D13" s="226"/>
    </row>
    <row r="14" spans="1:4" x14ac:dyDescent="0.25">
      <c r="A14" s="69" t="s">
        <v>126</v>
      </c>
      <c r="B14" s="69">
        <v>3.9E-2</v>
      </c>
      <c r="C14" s="69" t="s">
        <v>127</v>
      </c>
    </row>
    <row r="15" spans="1:4" x14ac:dyDescent="0.25">
      <c r="A15" s="69" t="s">
        <v>128</v>
      </c>
      <c r="B15" s="69">
        <v>3.6999999999999998E-2</v>
      </c>
      <c r="C15" s="69" t="s">
        <v>129</v>
      </c>
    </row>
    <row r="16" spans="1:4" x14ac:dyDescent="0.25">
      <c r="A16" s="69" t="s">
        <v>130</v>
      </c>
      <c r="B16" s="69">
        <v>30</v>
      </c>
      <c r="C16" s="69" t="s">
        <v>131</v>
      </c>
    </row>
    <row r="17" spans="1:3" x14ac:dyDescent="0.25">
      <c r="A17" s="69" t="s">
        <v>132</v>
      </c>
      <c r="B17" s="72">
        <v>3.5969999999999999E-3</v>
      </c>
      <c r="C17" s="69" t="s">
        <v>133</v>
      </c>
    </row>
    <row r="18" spans="1:3" x14ac:dyDescent="0.25">
      <c r="B18" s="54">
        <v>2019</v>
      </c>
      <c r="C18" s="54" t="s">
        <v>20</v>
      </c>
    </row>
    <row r="19" spans="1:3" x14ac:dyDescent="0.25">
      <c r="B19" s="54">
        <v>2030</v>
      </c>
      <c r="C19" s="54" t="s">
        <v>19</v>
      </c>
    </row>
    <row r="26" spans="1:3" x14ac:dyDescent="0.25">
      <c r="C26" s="73"/>
    </row>
  </sheetData>
  <sheetProtection algorithmName="SHA-512" hashValue="l9fNB1sJmDxOUZDJLto3nbYb/UHw2D2ADFu+S1RL36DsFdOx7OFpzJ8oV1wKcFT8EJRMaYGt/Wn2PdOOHibW+Q==" saltValue="AMt8lWfx71fzZm4HP7oWXQ==" spinCount="100000" sheet="1" objects="1" scenarios="1"/>
  <mergeCells count="1">
    <mergeCell ref="D10:D13"/>
  </mergeCells>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43</vt:i4>
      </vt:variant>
    </vt:vector>
  </HeadingPairs>
  <TitlesOfParts>
    <vt:vector size="52" baseType="lpstr">
      <vt:lpstr>CI BUILDING DEEP RETROFIT</vt:lpstr>
      <vt:lpstr>Cost of Carbon Reductions</vt:lpstr>
      <vt:lpstr>COMM ENERGY USE</vt:lpstr>
      <vt:lpstr>Equip Shares</vt:lpstr>
      <vt:lpstr>Water Heat Shares</vt:lpstr>
      <vt:lpstr>Space Heat Shares</vt:lpstr>
      <vt:lpstr>Intensities</vt:lpstr>
      <vt:lpstr>Activity (Floor Area)</vt:lpstr>
      <vt:lpstr>Named Cells</vt:lpstr>
      <vt:lpstr>baseyear</vt:lpstr>
      <vt:lpstr>cfloorarea</vt:lpstr>
      <vt:lpstr>cint2019</vt:lpstr>
      <vt:lpstr>cint2030</vt:lpstr>
      <vt:lpstr>commeff</vt:lpstr>
      <vt:lpstr>commhp</vt:lpstr>
      <vt:lpstr>commsumm</vt:lpstr>
      <vt:lpstr>commsummfuel</vt:lpstr>
      <vt:lpstr>commsumyr</vt:lpstr>
      <vt:lpstr>elintensfactor</vt:lpstr>
      <vt:lpstr>elkwh2mj</vt:lpstr>
      <vt:lpstr>elp2gj</vt:lpstr>
      <vt:lpstr>eprice</vt:lpstr>
      <vt:lpstr>eqsh19</vt:lpstr>
      <vt:lpstr>eqshint</vt:lpstr>
      <vt:lpstr>futeprice</vt:lpstr>
      <vt:lpstr>futgprice</vt:lpstr>
      <vt:lpstr>futoprice</vt:lpstr>
      <vt:lpstr>gasef</vt:lpstr>
      <vt:lpstr>gasm32mj</vt:lpstr>
      <vt:lpstr>gaspm32gj</vt:lpstr>
      <vt:lpstr>gfactorkwh</vt:lpstr>
      <vt:lpstr>ggfactorkwh</vt:lpstr>
      <vt:lpstr>ggridfactor</vt:lpstr>
      <vt:lpstr>gprice</vt:lpstr>
      <vt:lpstr>gridfactor</vt:lpstr>
      <vt:lpstr>heatsh19</vt:lpstr>
      <vt:lpstr>heatshin</vt:lpstr>
      <vt:lpstr>heatshint</vt:lpstr>
      <vt:lpstr>heatsource</vt:lpstr>
      <vt:lpstr>intyear</vt:lpstr>
      <vt:lpstr>oilef</vt:lpstr>
      <vt:lpstr>oilp2gj</vt:lpstr>
      <vt:lpstr>oprice</vt:lpstr>
      <vt:lpstr>postgasprice</vt:lpstr>
      <vt:lpstr>sm2sf</vt:lpstr>
      <vt:lpstr>totsavings</vt:lpstr>
      <vt:lpstr>whsh19</vt:lpstr>
      <vt:lpstr>whshint</vt:lpstr>
      <vt:lpstr>woodc2mj</vt:lpstr>
      <vt:lpstr>woodef</vt:lpstr>
      <vt:lpstr>woodp2gj</vt:lpstr>
      <vt:lpstr>wprice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2020-04-20T07:43:45Z</dcterms:created>
  <dcterms:modified xsi:type="dcterms:W3CDTF">2020-04-22T07:56:52Z</dcterms:modified>
</cp:coreProperties>
</file>