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checkCompatibility="1" defaultThemeVersion="124226"/>
  <mc:AlternateContent xmlns:mc="http://schemas.openxmlformats.org/markup-compatibility/2006">
    <mc:Choice Requires="x15">
      <x15ac:absPath xmlns:x15ac="http://schemas.microsoft.com/office/spreadsheetml/2010/11/ac" url="C:\Users\rtorr\Dropbox\ACTIVE PROJECTS\AA CORPORATE KNIGHTS\EV and the car industry we need\"/>
    </mc:Choice>
  </mc:AlternateContent>
  <xr:revisionPtr revIDLastSave="0" documentId="8_{B0D21967-D0A6-41E2-8C62-1560368C4AB9}" xr6:coauthVersionLast="45" xr6:coauthVersionMax="45" xr10:uidLastSave="{00000000-0000-0000-0000-000000000000}"/>
  <workbookProtection workbookAlgorithmName="SHA-512" workbookHashValue="IOFAqS2hY7fdNOfNu5cWLen4+UMWkzJauWNyScqrFP0WBwoFtvt5QXK1qSfE7BK5oBcPyh+ObkV1OIShgaIZaA==" workbookSaltValue="iYWGbfnovd/fSFFwp7smGQ==" workbookSpinCount="100000" lockStructure="1"/>
  <bookViews>
    <workbookView xWindow="28680" yWindow="-120" windowWidth="29040" windowHeight="17640" tabRatio="906" xr2:uid="{00000000-000D-0000-FFFF-FFFF00000000}"/>
  </bookViews>
  <sheets>
    <sheet name="The Low Carbon Scenario" sheetId="70" r:id="rId1"/>
    <sheet name=" Calcs &amp; Detailed Results" sheetId="73" r:id="rId2"/>
    <sheet name="Stock projection" sheetId="71" r:id="rId3"/>
    <sheet name="Base case saved" sheetId="79" state="hidden" r:id="rId4"/>
    <sheet name="Buses" sheetId="56" r:id="rId5"/>
    <sheet name="Car stock" sheetId="49" r:id="rId6"/>
    <sheet name="Truck Stock" sheetId="67" r:id="rId7"/>
    <sheet name="Named Cells" sheetId="74" r:id="rId8"/>
  </sheets>
  <definedNames>
    <definedName name="acres2sf">'Named Cells'!#REF!</definedName>
    <definedName name="acres2sqmiles">'Named Cells'!#REF!</definedName>
    <definedName name="bo2L" localSheetId="7">'Named Cells'!#REF!</definedName>
    <definedName name="boco2MJ">'Named Cells'!#REF!</definedName>
    <definedName name="cargrowth">'Stock projection'!$D$41</definedName>
    <definedName name="ctef">'Named Cells'!#REF!</definedName>
    <definedName name="dieselpriceperL">'Named Cells'!$C$13</definedName>
    <definedName name="diesmjpl">'Named Cells'!$C$60</definedName>
    <definedName name="diespj">'Named Cells'!$C$40</definedName>
    <definedName name="DRATE">'Named Cells'!#REF!</definedName>
    <definedName name="Dwellings">'Named Cells'!#REF!</definedName>
    <definedName name="edieselplitre">'Named Cells'!$C$46</definedName>
    <definedName name="egasplitre">'Named Cells'!$C$45</definedName>
    <definedName name="elfopm3">'Named Cells'!$C$44</definedName>
    <definedName name="elp2gj">'Named Cells'!$C$21</definedName>
    <definedName name="emdiesel">'Named Cells'!$C$28</definedName>
    <definedName name="emelectric">'Named Cells'!$C$30</definedName>
    <definedName name="emelectricpermmj">'Named Cells'!$C$33</definedName>
    <definedName name="emgasoline">'Named Cells'!$C$29</definedName>
    <definedName name="emnatgaspmj">'Named Cells'!$C$32</definedName>
    <definedName name="engpm3">'Named Cells'!$C$43</definedName>
    <definedName name="eprice">'Named Cells'!$C$15</definedName>
    <definedName name="epropplitre">'Named Cells'!$C$47</definedName>
    <definedName name="evsales">'Car stock'!$AB$5</definedName>
    <definedName name="f2m">'Named Cells'!#REF!</definedName>
    <definedName name="fdieselpriceperL">'Named Cells'!$C$24</definedName>
    <definedName name="feprice">'Named Cells'!$C$25</definedName>
    <definedName name="fgaspriceperL">'Named Cells'!$C$23</definedName>
    <definedName name="fltgrowth">'Stock projection'!$D$43</definedName>
    <definedName name="fltretire">'Stock projection'!$B$43</definedName>
    <definedName name="fopj">'Named Cells'!$C$38</definedName>
    <definedName name="fsef">'Named Cells'!#REF!</definedName>
    <definedName name="gas2mj">'Named Cells'!#REF!</definedName>
    <definedName name="gasef">'Named Cells'!$C$4</definedName>
    <definedName name="gasem">'Named Cells'!#REF!</definedName>
    <definedName name="gasl2j">'Named Cells'!$C$59</definedName>
    <definedName name="gasmjpl">'Named Cells'!$C$59</definedName>
    <definedName name="gasolineprperL">'Named Cells'!$C$12</definedName>
    <definedName name="gaspj">'Named Cells'!$C$39</definedName>
    <definedName name="gaspm32gj">'Named Cells'!$C$18</definedName>
    <definedName name="gaspriceperL">'Named Cells'!$C$12</definedName>
    <definedName name="gfactorkwh">'Named Cells'!$C$3</definedName>
    <definedName name="ggfactorkwh">'Named Cells'!$C$7</definedName>
    <definedName name="ggridfactor">'Named Cells'!$C$6</definedName>
    <definedName name="gprice">'Named Cells'!$C$14</definedName>
    <definedName name="gridfactor">'Named Cells'!$C$2</definedName>
    <definedName name="gsef">'Named Cells'!#REF!</definedName>
    <definedName name="htgrowth">'Stock projection'!$D$45</definedName>
    <definedName name="htretire">'Stock projection'!$B$45</definedName>
    <definedName name="iG2L" localSheetId="7">'Named Cells'!#REF!</definedName>
    <definedName name="Imgpb">'Named Cells'!#REF!</definedName>
    <definedName name="j2kwh">'Named Cells'!#REF!</definedName>
    <definedName name="jobmultiplier">'The Low Carbon Scenario'!$C$84</definedName>
    <definedName name="k2m">'Named Cells'!#REF!</definedName>
    <definedName name="kg_Litre">'Named Cells'!$C$53</definedName>
    <definedName name="kg_m3">'Named Cells'!$C$54</definedName>
    <definedName name="kwh2j">'Named Cells'!#REF!</definedName>
    <definedName name="LE102MJ">'Named Cells'!#REF!</definedName>
    <definedName name="leth2mj">'Named Cells'!#REF!</definedName>
    <definedName name="m2f">'Named Cells'!#REF!</definedName>
    <definedName name="m2k">'Named Cells'!#REF!</definedName>
    <definedName name="MJ_m3">'Named Cells'!$C$57</definedName>
    <definedName name="mtgrowth">'Stock projection'!$D$44</definedName>
    <definedName name="mtretire">'Stock projection'!$B$44</definedName>
    <definedName name="ngmjpm3">'Named Cells'!$C$57</definedName>
    <definedName name="ngpj">'Named Cells'!$C$37</definedName>
    <definedName name="ngprice">'Named Cells'!$C$14</definedName>
    <definedName name="oilef">'Named Cells'!$C$5</definedName>
    <definedName name="oilmjpl">'Named Cells'!$C$58</definedName>
    <definedName name="oilp2gj">'Named Cells'!$C$19</definedName>
    <definedName name="oprice">'Named Cells'!$C$16</definedName>
    <definedName name="pltgrowth">'Stock projection'!$D$42</definedName>
    <definedName name="pltretire">'Stock projection'!$B$42</definedName>
    <definedName name="premiumdecline">'Stock projection'!$B$54</definedName>
    <definedName name="_xlnm.Print_Area" localSheetId="4">Buses!$3:$24</definedName>
    <definedName name="_xlnm.Print_Area" localSheetId="5">'Car stock'!$1:$24</definedName>
    <definedName name="_xlnm.Print_Area" localSheetId="6">'Truck Stock'!$1:$77</definedName>
    <definedName name="propj">'Named Cells'!$C$41</definedName>
    <definedName name="propmjpl">'Named Cells'!$C$61</definedName>
    <definedName name="retirerate">'Stock projection'!$B$41</definedName>
    <definedName name="sf2acres">'Named Cells'!#REF!</definedName>
    <definedName name="sf2sm">'Named Cells'!#REF!</definedName>
    <definedName name="sm2sf">'Named Cells'!$C$8</definedName>
    <definedName name="sm2sk">'Named Cells'!#REF!</definedName>
    <definedName name="sqmiles2acres">'Named Cells'!#REF!</definedName>
    <definedName name="suvpremiumdecline">'Stock projection'!$B$55</definedName>
    <definedName name="usg2L" localSheetId="7">'Named Cells'!#REF!</definedName>
    <definedName name="usgpb">'Named Cells'!#REF!</definedName>
    <definedName name="woodef">'Named Cells'!$C$9</definedName>
    <definedName name="woodp2gj">'Named Cells'!$C$20</definedName>
    <definedName name="workyear">'Named Cells'!$C$31</definedName>
    <definedName name="wprice">'Named Cells'!$C$17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73" l="1"/>
  <c r="M12" i="73"/>
  <c r="B12" i="73"/>
  <c r="M150" i="73"/>
  <c r="B25" i="73" l="1"/>
  <c r="M29" i="73"/>
  <c r="M28" i="73"/>
  <c r="M27" i="73"/>
  <c r="M19" i="73"/>
  <c r="B16" i="73"/>
  <c r="B15" i="73"/>
  <c r="M18" i="73"/>
  <c r="M17" i="73"/>
  <c r="D7" i="73"/>
  <c r="D37" i="73" s="1"/>
  <c r="E7" i="73"/>
  <c r="E37" i="73" s="1"/>
  <c r="F7" i="73"/>
  <c r="F37" i="73" s="1"/>
  <c r="G7" i="73"/>
  <c r="G37" i="73" s="1"/>
  <c r="H7" i="73"/>
  <c r="H37" i="73" s="1"/>
  <c r="I7" i="73"/>
  <c r="I37" i="73" s="1"/>
  <c r="J7" i="73"/>
  <c r="J37" i="73" s="1"/>
  <c r="K7" i="73"/>
  <c r="K37" i="73" s="1"/>
  <c r="L7" i="73"/>
  <c r="L37" i="73" s="1"/>
  <c r="E9" i="73"/>
  <c r="E39" i="73" s="1"/>
  <c r="F9" i="73"/>
  <c r="F39" i="73" s="1"/>
  <c r="G9" i="73"/>
  <c r="G39" i="73" s="1"/>
  <c r="H9" i="73"/>
  <c r="H39" i="73" s="1"/>
  <c r="I9" i="73"/>
  <c r="I39" i="73" s="1"/>
  <c r="J9" i="73"/>
  <c r="J39" i="73" s="1"/>
  <c r="K9" i="73"/>
  <c r="K39" i="73" s="1"/>
  <c r="L9" i="73"/>
  <c r="L39" i="73" s="1"/>
  <c r="B9" i="73"/>
  <c r="B39" i="73" s="1"/>
  <c r="B7" i="73"/>
  <c r="B37" i="73" s="1"/>
  <c r="B6" i="73"/>
  <c r="B36" i="73" s="1"/>
  <c r="M2" i="73"/>
  <c r="C1" i="73"/>
  <c r="M191" i="73"/>
  <c r="M193" i="73"/>
  <c r="B182" i="73"/>
  <c r="C182" i="73" s="1"/>
  <c r="D182" i="73" s="1"/>
  <c r="E182" i="73" s="1"/>
  <c r="F182" i="73" s="1"/>
  <c r="G182" i="73" s="1"/>
  <c r="H182" i="73" s="1"/>
  <c r="I182" i="73" s="1"/>
  <c r="J182" i="73" s="1"/>
  <c r="K182" i="73" s="1"/>
  <c r="L182" i="73" s="1"/>
  <c r="C176" i="73"/>
  <c r="D176" i="73"/>
  <c r="E176" i="73"/>
  <c r="F176" i="73"/>
  <c r="G176" i="73"/>
  <c r="H176" i="73"/>
  <c r="I176" i="73"/>
  <c r="J176" i="73"/>
  <c r="K176" i="73"/>
  <c r="L176" i="73"/>
  <c r="B176" i="73"/>
  <c r="L177" i="73"/>
  <c r="C177" i="73" s="1"/>
  <c r="D177" i="73" s="1"/>
  <c r="E177" i="73" s="1"/>
  <c r="F177" i="73" s="1"/>
  <c r="G177" i="73" s="1"/>
  <c r="H177" i="73" s="1"/>
  <c r="I177" i="73" s="1"/>
  <c r="J177" i="73" s="1"/>
  <c r="K177" i="73" s="1"/>
  <c r="L207" i="73"/>
  <c r="L202" i="73"/>
  <c r="L205" i="73" s="1"/>
  <c r="L201" i="73"/>
  <c r="L204" i="73" s="1"/>
  <c r="L200" i="73"/>
  <c r="C199" i="73"/>
  <c r="D199" i="73" s="1"/>
  <c r="E199" i="73" s="1"/>
  <c r="F199" i="73" s="1"/>
  <c r="G199" i="73" s="1"/>
  <c r="H199" i="73" s="1"/>
  <c r="I199" i="73" s="1"/>
  <c r="J199" i="73" s="1"/>
  <c r="K199" i="73" s="1"/>
  <c r="L199" i="73" s="1"/>
  <c r="L99" i="73"/>
  <c r="L98" i="73"/>
  <c r="L82" i="73"/>
  <c r="C82" i="73" s="1"/>
  <c r="D82" i="73" s="1"/>
  <c r="E82" i="73" s="1"/>
  <c r="F82" i="73" s="1"/>
  <c r="G82" i="73" s="1"/>
  <c r="H82" i="73" s="1"/>
  <c r="I82" i="73" s="1"/>
  <c r="J82" i="73" s="1"/>
  <c r="K82" i="73" s="1"/>
  <c r="L81" i="73"/>
  <c r="C81" i="73" s="1"/>
  <c r="D81" i="73" s="1"/>
  <c r="E81" i="73" s="1"/>
  <c r="F81" i="73" s="1"/>
  <c r="G81" i="73" s="1"/>
  <c r="H81" i="73" s="1"/>
  <c r="I81" i="73" s="1"/>
  <c r="J81" i="73" s="1"/>
  <c r="K81" i="73" s="1"/>
  <c r="L80" i="73"/>
  <c r="B73" i="73"/>
  <c r="B72" i="73" s="1"/>
  <c r="L45" i="73"/>
  <c r="C45" i="73" s="1"/>
  <c r="C44" i="73"/>
  <c r="D44" i="73"/>
  <c r="E44" i="73"/>
  <c r="F44" i="73"/>
  <c r="G44" i="73"/>
  <c r="H44" i="73"/>
  <c r="I44" i="73"/>
  <c r="J44" i="73"/>
  <c r="K44" i="73"/>
  <c r="L44" i="73"/>
  <c r="D1" i="73" l="1"/>
  <c r="C12" i="73"/>
  <c r="L203" i="73"/>
  <c r="C46" i="73"/>
  <c r="C80" i="73"/>
  <c r="D80" i="73" s="1"/>
  <c r="E80" i="73" s="1"/>
  <c r="F80" i="73" s="1"/>
  <c r="G80" i="73" s="1"/>
  <c r="H80" i="73" s="1"/>
  <c r="I80" i="73" s="1"/>
  <c r="J80" i="73" s="1"/>
  <c r="K80" i="73" s="1"/>
  <c r="L46" i="73"/>
  <c r="D45" i="73"/>
  <c r="E45" i="73" s="1"/>
  <c r="F45" i="73" s="1"/>
  <c r="G45" i="73" s="1"/>
  <c r="H45" i="73" s="1"/>
  <c r="I45" i="73" s="1"/>
  <c r="J45" i="73" s="1"/>
  <c r="K45" i="73" s="1"/>
  <c r="C174" i="73"/>
  <c r="D174" i="73"/>
  <c r="E174" i="73"/>
  <c r="F174" i="73"/>
  <c r="G174" i="73"/>
  <c r="H174" i="73"/>
  <c r="I174" i="73"/>
  <c r="J174" i="73"/>
  <c r="K174" i="73"/>
  <c r="L174" i="73"/>
  <c r="B174" i="73"/>
  <c r="R16" i="70"/>
  <c r="M174" i="73" s="1"/>
  <c r="C52" i="70"/>
  <c r="C165" i="73"/>
  <c r="D165" i="73"/>
  <c r="E165" i="73"/>
  <c r="F165" i="73"/>
  <c r="G165" i="73"/>
  <c r="H165" i="73"/>
  <c r="I165" i="73"/>
  <c r="J165" i="73"/>
  <c r="K165" i="73"/>
  <c r="L165" i="73"/>
  <c r="B165" i="73"/>
  <c r="C50" i="56"/>
  <c r="D47" i="56"/>
  <c r="D48" i="56" s="1"/>
  <c r="E47" i="56"/>
  <c r="E48" i="56" s="1"/>
  <c r="F47" i="56"/>
  <c r="G47" i="56"/>
  <c r="G48" i="56" s="1"/>
  <c r="H47" i="56"/>
  <c r="I47" i="56"/>
  <c r="J47" i="56"/>
  <c r="J48" i="56" s="1"/>
  <c r="K47" i="56"/>
  <c r="K48" i="56" s="1"/>
  <c r="L47" i="56"/>
  <c r="L48" i="56" s="1"/>
  <c r="M47" i="56"/>
  <c r="M48" i="56" s="1"/>
  <c r="N47" i="56"/>
  <c r="O47" i="56"/>
  <c r="P47" i="56"/>
  <c r="Q47" i="56"/>
  <c r="R47" i="56"/>
  <c r="R48" i="56" s="1"/>
  <c r="S47" i="56"/>
  <c r="S48" i="56" s="1"/>
  <c r="T47" i="56"/>
  <c r="T48" i="56" s="1"/>
  <c r="U47" i="56"/>
  <c r="U48" i="56" s="1"/>
  <c r="V47" i="56"/>
  <c r="W47" i="56"/>
  <c r="X47" i="56"/>
  <c r="Y47" i="56"/>
  <c r="Z47" i="56"/>
  <c r="Z48" i="56" s="1"/>
  <c r="AA47" i="56"/>
  <c r="AA48" i="56" s="1"/>
  <c r="AB47" i="56"/>
  <c r="AB48" i="56" s="1"/>
  <c r="AC47" i="56"/>
  <c r="F48" i="56"/>
  <c r="H48" i="56"/>
  <c r="I48" i="56"/>
  <c r="N48" i="56"/>
  <c r="O48" i="56"/>
  <c r="P48" i="56"/>
  <c r="Q48" i="56"/>
  <c r="V48" i="56"/>
  <c r="W48" i="56"/>
  <c r="X48" i="56"/>
  <c r="Y48" i="56"/>
  <c r="AC48" i="56"/>
  <c r="C48" i="56"/>
  <c r="C47" i="56"/>
  <c r="D46" i="56"/>
  <c r="E46" i="56"/>
  <c r="F46" i="56"/>
  <c r="G46" i="56"/>
  <c r="H46" i="56"/>
  <c r="I46" i="56"/>
  <c r="J46" i="56"/>
  <c r="K46" i="56"/>
  <c r="L46" i="56"/>
  <c r="M46" i="56"/>
  <c r="N46" i="56"/>
  <c r="O46" i="56"/>
  <c r="P46" i="56"/>
  <c r="Q46" i="56"/>
  <c r="R46" i="56"/>
  <c r="S46" i="56"/>
  <c r="T46" i="56"/>
  <c r="U46" i="56"/>
  <c r="V46" i="56"/>
  <c r="W46" i="56"/>
  <c r="X46" i="56"/>
  <c r="Y46" i="56"/>
  <c r="Z46" i="56"/>
  <c r="AA46" i="56"/>
  <c r="AB46" i="56"/>
  <c r="AC46" i="56"/>
  <c r="C46" i="56"/>
  <c r="E1" i="73" l="1"/>
  <c r="D12" i="73"/>
  <c r="C175" i="73"/>
  <c r="C179" i="73" s="1"/>
  <c r="C183" i="73"/>
  <c r="B170" i="73"/>
  <c r="AD39" i="56"/>
  <c r="AD40" i="56"/>
  <c r="AD41" i="56" s="1"/>
  <c r="D39" i="56"/>
  <c r="E39" i="56"/>
  <c r="F39" i="56"/>
  <c r="G39" i="56"/>
  <c r="H39" i="56"/>
  <c r="I39" i="56"/>
  <c r="I40" i="56" s="1"/>
  <c r="I41" i="56" s="1"/>
  <c r="J39" i="56"/>
  <c r="J40" i="56" s="1"/>
  <c r="J41" i="56" s="1"/>
  <c r="K39" i="56"/>
  <c r="K40" i="56" s="1"/>
  <c r="K41" i="56" s="1"/>
  <c r="L39" i="56"/>
  <c r="M39" i="56"/>
  <c r="N39" i="56"/>
  <c r="O39" i="56"/>
  <c r="P39" i="56"/>
  <c r="Q39" i="56"/>
  <c r="R39" i="56"/>
  <c r="R40" i="56" s="1"/>
  <c r="R41" i="56" s="1"/>
  <c r="S39" i="56"/>
  <c r="S40" i="56" s="1"/>
  <c r="S41" i="56" s="1"/>
  <c r="T39" i="56"/>
  <c r="U39" i="56"/>
  <c r="V39" i="56"/>
  <c r="W39" i="56"/>
  <c r="X39" i="56"/>
  <c r="Y39" i="56"/>
  <c r="Z39" i="56"/>
  <c r="Z40" i="56" s="1"/>
  <c r="Z41" i="56" s="1"/>
  <c r="AA39" i="56"/>
  <c r="AA40" i="56" s="1"/>
  <c r="AA41" i="56" s="1"/>
  <c r="AB39" i="56"/>
  <c r="AC39" i="56"/>
  <c r="D40" i="56"/>
  <c r="E40" i="56"/>
  <c r="E41" i="56" s="1"/>
  <c r="F40" i="56"/>
  <c r="G40" i="56"/>
  <c r="H40" i="56"/>
  <c r="H41" i="56" s="1"/>
  <c r="L40" i="56"/>
  <c r="M40" i="56"/>
  <c r="N40" i="56"/>
  <c r="O40" i="56"/>
  <c r="P40" i="56"/>
  <c r="P41" i="56" s="1"/>
  <c r="Q40" i="56"/>
  <c r="Q41" i="56" s="1"/>
  <c r="T40" i="56"/>
  <c r="U40" i="56"/>
  <c r="V40" i="56"/>
  <c r="W40" i="56"/>
  <c r="X40" i="56"/>
  <c r="X41" i="56" s="1"/>
  <c r="Y40" i="56"/>
  <c r="Y41" i="56" s="1"/>
  <c r="AB40" i="56"/>
  <c r="AC40" i="56"/>
  <c r="D41" i="56"/>
  <c r="F41" i="56"/>
  <c r="G41" i="56"/>
  <c r="L41" i="56"/>
  <c r="M41" i="56"/>
  <c r="N41" i="56"/>
  <c r="O41" i="56"/>
  <c r="T41" i="56"/>
  <c r="U41" i="56"/>
  <c r="V41" i="56"/>
  <c r="W41" i="56"/>
  <c r="AB41" i="56"/>
  <c r="AC41" i="56"/>
  <c r="C41" i="56"/>
  <c r="C40" i="56"/>
  <c r="C39" i="56"/>
  <c r="C162" i="73"/>
  <c r="D162" i="73"/>
  <c r="E162" i="73"/>
  <c r="F162" i="73"/>
  <c r="G162" i="73"/>
  <c r="H162" i="73"/>
  <c r="I162" i="73"/>
  <c r="J162" i="73"/>
  <c r="K162" i="73"/>
  <c r="L162" i="73"/>
  <c r="B162" i="73"/>
  <c r="B171" i="73" s="1"/>
  <c r="B5" i="73" s="1"/>
  <c r="B35" i="73" s="1"/>
  <c r="R14" i="70"/>
  <c r="F1" i="73" l="1"/>
  <c r="E12" i="73"/>
  <c r="C184" i="73"/>
  <c r="C6" i="73"/>
  <c r="C36" i="73" s="1"/>
  <c r="C178" i="73"/>
  <c r="D175" i="73"/>
  <c r="D179" i="73" s="1"/>
  <c r="D183" i="73"/>
  <c r="C170" i="73"/>
  <c r="D170" i="73" s="1"/>
  <c r="C163" i="73"/>
  <c r="B172" i="73"/>
  <c r="M162" i="73"/>
  <c r="G1" i="73" l="1"/>
  <c r="F12" i="73"/>
  <c r="D184" i="73"/>
  <c r="D6" i="73"/>
  <c r="D36" i="73" s="1"/>
  <c r="D178" i="73"/>
  <c r="E175" i="73"/>
  <c r="E178" i="73" s="1"/>
  <c r="C167" i="73"/>
  <c r="E183" i="73"/>
  <c r="C73" i="73"/>
  <c r="C72" i="73" s="1"/>
  <c r="E170" i="73"/>
  <c r="D171" i="73"/>
  <c r="C171" i="73"/>
  <c r="D163" i="73"/>
  <c r="H1" i="73" l="1"/>
  <c r="G12" i="73"/>
  <c r="E179" i="73"/>
  <c r="F175" i="73"/>
  <c r="F179" i="73" s="1"/>
  <c r="C172" i="73"/>
  <c r="C5" i="73"/>
  <c r="C35" i="73" s="1"/>
  <c r="D172" i="73"/>
  <c r="D5" i="73"/>
  <c r="D35" i="73" s="1"/>
  <c r="E184" i="73"/>
  <c r="E6" i="73"/>
  <c r="E36" i="73" s="1"/>
  <c r="D167" i="73"/>
  <c r="F183" i="73"/>
  <c r="E163" i="73"/>
  <c r="D73" i="73"/>
  <c r="D72" i="73" s="1"/>
  <c r="F170" i="73"/>
  <c r="E171" i="73"/>
  <c r="I1" i="73" l="1"/>
  <c r="H12" i="73"/>
  <c r="G175" i="73"/>
  <c r="G179" i="73" s="1"/>
  <c r="F178" i="73"/>
  <c r="E172" i="73"/>
  <c r="E5" i="73"/>
  <c r="E35" i="73" s="1"/>
  <c r="F184" i="73"/>
  <c r="F6" i="73"/>
  <c r="F36" i="73" s="1"/>
  <c r="G183" i="73"/>
  <c r="E167" i="73"/>
  <c r="E73" i="73"/>
  <c r="E72" i="73" s="1"/>
  <c r="F163" i="73"/>
  <c r="G163" i="73" s="1"/>
  <c r="G170" i="73"/>
  <c r="F171" i="73"/>
  <c r="J1" i="73" l="1"/>
  <c r="I12" i="73"/>
  <c r="H175" i="73"/>
  <c r="H178" i="73" s="1"/>
  <c r="G178" i="73"/>
  <c r="F172" i="73"/>
  <c r="F5" i="73"/>
  <c r="F35" i="73" s="1"/>
  <c r="G184" i="73"/>
  <c r="G6" i="73"/>
  <c r="G36" i="73" s="1"/>
  <c r="G167" i="73"/>
  <c r="H183" i="73"/>
  <c r="F167" i="73"/>
  <c r="F73" i="73"/>
  <c r="F72" i="73" s="1"/>
  <c r="G73" i="73"/>
  <c r="G72" i="73" s="1"/>
  <c r="G171" i="73"/>
  <c r="H170" i="73"/>
  <c r="H163" i="73"/>
  <c r="K1" i="73" l="1"/>
  <c r="J12" i="73"/>
  <c r="I175" i="73"/>
  <c r="J175" i="73" s="1"/>
  <c r="H179" i="73"/>
  <c r="G172" i="73"/>
  <c r="G5" i="73"/>
  <c r="G35" i="73" s="1"/>
  <c r="H184" i="73"/>
  <c r="H6" i="73"/>
  <c r="H36" i="73" s="1"/>
  <c r="I183" i="73"/>
  <c r="H167" i="73"/>
  <c r="H73" i="73"/>
  <c r="H72" i="73" s="1"/>
  <c r="I170" i="73"/>
  <c r="H171" i="73"/>
  <c r="I163" i="73"/>
  <c r="L1" i="73" l="1"/>
  <c r="L12" i="73" s="1"/>
  <c r="K12" i="73"/>
  <c r="I179" i="73"/>
  <c r="I178" i="73"/>
  <c r="I184" i="73"/>
  <c r="I6" i="73"/>
  <c r="I36" i="73" s="1"/>
  <c r="H172" i="73"/>
  <c r="H5" i="73"/>
  <c r="H35" i="73" s="1"/>
  <c r="J179" i="73"/>
  <c r="J178" i="73"/>
  <c r="I167" i="73"/>
  <c r="J183" i="73"/>
  <c r="I73" i="73"/>
  <c r="I72" i="73" s="1"/>
  <c r="K175" i="73"/>
  <c r="J170" i="73"/>
  <c r="I171" i="73"/>
  <c r="J163" i="73"/>
  <c r="I172" i="73" l="1"/>
  <c r="I5" i="73"/>
  <c r="I35" i="73" s="1"/>
  <c r="J184" i="73"/>
  <c r="J6" i="73"/>
  <c r="J36" i="73" s="1"/>
  <c r="K179" i="73"/>
  <c r="K178" i="73"/>
  <c r="K183" i="73"/>
  <c r="J167" i="73"/>
  <c r="J73" i="73"/>
  <c r="J72" i="73" s="1"/>
  <c r="L175" i="73"/>
  <c r="K170" i="73"/>
  <c r="J171" i="73"/>
  <c r="K163" i="73"/>
  <c r="J172" i="73" l="1"/>
  <c r="J5" i="73"/>
  <c r="J35" i="73" s="1"/>
  <c r="K184" i="73"/>
  <c r="K6" i="73"/>
  <c r="K36" i="73" s="1"/>
  <c r="L183" i="73"/>
  <c r="M183" i="73" s="1"/>
  <c r="C53" i="70" s="1"/>
  <c r="K167" i="73"/>
  <c r="L179" i="73"/>
  <c r="M179" i="73" s="1"/>
  <c r="L178" i="73"/>
  <c r="K73" i="73"/>
  <c r="K72" i="73" s="1"/>
  <c r="L170" i="73"/>
  <c r="K171" i="73"/>
  <c r="K5" i="73" s="1"/>
  <c r="K35" i="73" s="1"/>
  <c r="L163" i="73"/>
  <c r="L184" i="73" l="1"/>
  <c r="M184" i="73" s="1"/>
  <c r="L6" i="73"/>
  <c r="M178" i="73"/>
  <c r="L167" i="73"/>
  <c r="M167" i="73" s="1"/>
  <c r="L171" i="73"/>
  <c r="L73" i="73"/>
  <c r="L72" i="73" s="1"/>
  <c r="C46" i="70"/>
  <c r="K172" i="73"/>
  <c r="M6" i="73" l="1"/>
  <c r="L36" i="73"/>
  <c r="M36" i="73" s="1"/>
  <c r="L172" i="73"/>
  <c r="M172" i="73" s="1"/>
  <c r="L5" i="73"/>
  <c r="L35" i="73" s="1"/>
  <c r="M35" i="73" s="1"/>
  <c r="M171" i="73"/>
  <c r="C20" i="70"/>
  <c r="D190" i="73" l="1"/>
  <c r="C190" i="73"/>
  <c r="M5" i="73"/>
  <c r="B8" i="70" s="1"/>
  <c r="C3" i="74"/>
  <c r="C7" i="74"/>
  <c r="C6" i="74" s="1"/>
  <c r="C23" i="74"/>
  <c r="C24" i="74"/>
  <c r="C25" i="74"/>
  <c r="C31" i="74"/>
  <c r="C33" i="74"/>
  <c r="C38" i="74"/>
  <c r="C39" i="74"/>
  <c r="C46" i="74"/>
  <c r="C40" i="74" s="1"/>
  <c r="AF7" i="67"/>
  <c r="AG7" i="67" s="1"/>
  <c r="B16" i="67"/>
  <c r="B17" i="67"/>
  <c r="B18" i="67"/>
  <c r="B19" i="67"/>
  <c r="B22" i="67"/>
  <c r="D22" i="67"/>
  <c r="E22" i="67"/>
  <c r="F22" i="67"/>
  <c r="G22" i="67"/>
  <c r="H22" i="67"/>
  <c r="I22" i="67"/>
  <c r="J22" i="67"/>
  <c r="K22" i="67"/>
  <c r="L22" i="67"/>
  <c r="M22" i="67"/>
  <c r="N22" i="67"/>
  <c r="O22" i="67"/>
  <c r="P22" i="67"/>
  <c r="Q22" i="67"/>
  <c r="R22" i="67"/>
  <c r="S22" i="67"/>
  <c r="T22" i="67"/>
  <c r="U22" i="67"/>
  <c r="V22" i="67"/>
  <c r="W22" i="67"/>
  <c r="X22" i="67"/>
  <c r="Y22" i="67"/>
  <c r="Z22" i="67"/>
  <c r="AA22" i="67"/>
  <c r="AB22" i="67"/>
  <c r="AC22" i="67"/>
  <c r="AD22" i="67"/>
  <c r="B23" i="67"/>
  <c r="D23" i="67"/>
  <c r="E23" i="67"/>
  <c r="F23" i="67"/>
  <c r="G23" i="67"/>
  <c r="H23" i="67"/>
  <c r="I23" i="67"/>
  <c r="J23" i="67"/>
  <c r="K23" i="67"/>
  <c r="L23" i="67"/>
  <c r="M23" i="67"/>
  <c r="N23" i="67"/>
  <c r="O23" i="67"/>
  <c r="P23" i="67"/>
  <c r="Q23" i="67"/>
  <c r="R23" i="67"/>
  <c r="S23" i="67"/>
  <c r="T23" i="67"/>
  <c r="U23" i="67"/>
  <c r="V23" i="67"/>
  <c r="W23" i="67"/>
  <c r="X23" i="67"/>
  <c r="Y23" i="67"/>
  <c r="Z23" i="67"/>
  <c r="AA23" i="67"/>
  <c r="AB23" i="67"/>
  <c r="AC23" i="67"/>
  <c r="AD23" i="67"/>
  <c r="B24" i="67"/>
  <c r="D24" i="67"/>
  <c r="E24" i="67"/>
  <c r="F24" i="67"/>
  <c r="G24" i="67"/>
  <c r="H24" i="67"/>
  <c r="I24" i="67"/>
  <c r="J24" i="67"/>
  <c r="K24" i="67"/>
  <c r="L24" i="67"/>
  <c r="M24" i="67"/>
  <c r="N24" i="67"/>
  <c r="O24" i="67"/>
  <c r="P24" i="67"/>
  <c r="Q24" i="67"/>
  <c r="R24" i="67"/>
  <c r="S24" i="67"/>
  <c r="T24" i="67"/>
  <c r="U24" i="67"/>
  <c r="V24" i="67"/>
  <c r="W24" i="67"/>
  <c r="X24" i="67"/>
  <c r="Y24" i="67"/>
  <c r="Z24" i="67"/>
  <c r="AA24" i="67"/>
  <c r="AB24" i="67"/>
  <c r="AC24" i="67"/>
  <c r="AD24" i="67"/>
  <c r="B25" i="67"/>
  <c r="D25" i="67"/>
  <c r="E25" i="67"/>
  <c r="F25" i="67"/>
  <c r="G25" i="67"/>
  <c r="H25" i="67"/>
  <c r="I25" i="67"/>
  <c r="J25" i="67"/>
  <c r="K25" i="67"/>
  <c r="L25" i="67"/>
  <c r="M25" i="67"/>
  <c r="N25" i="67"/>
  <c r="O25" i="67"/>
  <c r="P25" i="67"/>
  <c r="Q25" i="67"/>
  <c r="R25" i="67"/>
  <c r="S25" i="67"/>
  <c r="T25" i="67"/>
  <c r="U25" i="67"/>
  <c r="V25" i="67"/>
  <c r="W25" i="67"/>
  <c r="X25" i="67"/>
  <c r="Y25" i="67"/>
  <c r="Z25" i="67"/>
  <c r="AA25" i="67"/>
  <c r="AB25" i="67"/>
  <c r="AC25" i="67"/>
  <c r="AD25" i="67"/>
  <c r="AH34" i="67"/>
  <c r="AH35" i="67"/>
  <c r="AH36" i="67"/>
  <c r="AH37" i="67"/>
  <c r="D40" i="67"/>
  <c r="E40" i="67"/>
  <c r="F40" i="67"/>
  <c r="G40" i="67"/>
  <c r="H40" i="67"/>
  <c r="I40" i="67"/>
  <c r="J40" i="67"/>
  <c r="K40" i="67"/>
  <c r="L40" i="67"/>
  <c r="M40" i="67"/>
  <c r="N40" i="67"/>
  <c r="O40" i="67"/>
  <c r="P40" i="67"/>
  <c r="Q40" i="67"/>
  <c r="R40" i="67"/>
  <c r="S40" i="67"/>
  <c r="T40" i="67"/>
  <c r="U40" i="67"/>
  <c r="V40" i="67"/>
  <c r="W40" i="67"/>
  <c r="X40" i="67"/>
  <c r="Y40" i="67"/>
  <c r="Z40" i="67"/>
  <c r="AA40" i="67"/>
  <c r="AB40" i="67"/>
  <c r="AC40" i="67"/>
  <c r="AD40" i="67"/>
  <c r="D41" i="67"/>
  <c r="E41" i="67"/>
  <c r="F41" i="67"/>
  <c r="G41" i="67"/>
  <c r="H41" i="67"/>
  <c r="I41" i="67"/>
  <c r="J41" i="67"/>
  <c r="K41" i="67"/>
  <c r="L41" i="67"/>
  <c r="M41" i="67"/>
  <c r="N41" i="67"/>
  <c r="O41" i="67"/>
  <c r="P41" i="67"/>
  <c r="Q41" i="67"/>
  <c r="R41" i="67"/>
  <c r="S41" i="67"/>
  <c r="T41" i="67"/>
  <c r="U41" i="67"/>
  <c r="V41" i="67"/>
  <c r="W41" i="67"/>
  <c r="X41" i="67"/>
  <c r="Y41" i="67"/>
  <c r="Z41" i="67"/>
  <c r="AA41" i="67"/>
  <c r="AB41" i="67"/>
  <c r="AC41" i="67"/>
  <c r="AD41" i="67"/>
  <c r="D42" i="67"/>
  <c r="E42" i="67"/>
  <c r="F42" i="67"/>
  <c r="G42" i="67"/>
  <c r="H42" i="67"/>
  <c r="I42" i="67"/>
  <c r="J42" i="67"/>
  <c r="K42" i="67"/>
  <c r="L42" i="67"/>
  <c r="M42" i="67"/>
  <c r="N42" i="67"/>
  <c r="O42" i="67"/>
  <c r="P42" i="67"/>
  <c r="Q42" i="67"/>
  <c r="R42" i="67"/>
  <c r="S42" i="67"/>
  <c r="T42" i="67"/>
  <c r="U42" i="67"/>
  <c r="V42" i="67"/>
  <c r="W42" i="67"/>
  <c r="X42" i="67"/>
  <c r="Y42" i="67"/>
  <c r="Z42" i="67"/>
  <c r="AA42" i="67"/>
  <c r="AB42" i="67"/>
  <c r="AC42" i="67"/>
  <c r="AD42" i="67"/>
  <c r="D43" i="67"/>
  <c r="E43" i="67"/>
  <c r="F43" i="67"/>
  <c r="G43" i="67"/>
  <c r="H43" i="67"/>
  <c r="I43" i="67"/>
  <c r="J43" i="67"/>
  <c r="K43" i="67"/>
  <c r="L43" i="67"/>
  <c r="M43" i="67"/>
  <c r="N43" i="67"/>
  <c r="O43" i="67"/>
  <c r="P43" i="67"/>
  <c r="Q43" i="67"/>
  <c r="R43" i="67"/>
  <c r="S43" i="67"/>
  <c r="T43" i="67"/>
  <c r="U43" i="67"/>
  <c r="V43" i="67"/>
  <c r="W43" i="67"/>
  <c r="X43" i="67"/>
  <c r="Y43" i="67"/>
  <c r="Z43" i="67"/>
  <c r="AA43" i="67"/>
  <c r="AB43" i="67"/>
  <c r="AC43" i="67"/>
  <c r="AD43" i="67"/>
  <c r="B46" i="67"/>
  <c r="D46" i="67"/>
  <c r="E46" i="67"/>
  <c r="F46" i="67"/>
  <c r="G46" i="67"/>
  <c r="H46" i="67"/>
  <c r="I46" i="67"/>
  <c r="J46" i="67"/>
  <c r="K46" i="67"/>
  <c r="L46" i="67"/>
  <c r="M46" i="67"/>
  <c r="N46" i="67"/>
  <c r="O46" i="67"/>
  <c r="P46" i="67"/>
  <c r="Q46" i="67"/>
  <c r="R46" i="67"/>
  <c r="S46" i="67"/>
  <c r="T46" i="67"/>
  <c r="U46" i="67"/>
  <c r="V46" i="67"/>
  <c r="W46" i="67"/>
  <c r="X46" i="67"/>
  <c r="Y46" i="67"/>
  <c r="Z46" i="67"/>
  <c r="AA46" i="67"/>
  <c r="AB46" i="67"/>
  <c r="AC46" i="67"/>
  <c r="AD46" i="67"/>
  <c r="B47" i="67"/>
  <c r="D47" i="67"/>
  <c r="E47" i="67"/>
  <c r="F47" i="67"/>
  <c r="G47" i="67"/>
  <c r="H47" i="67"/>
  <c r="I47" i="67"/>
  <c r="J47" i="67"/>
  <c r="K47" i="67"/>
  <c r="L47" i="67"/>
  <c r="M47" i="67"/>
  <c r="N47" i="67"/>
  <c r="O47" i="67"/>
  <c r="P47" i="67"/>
  <c r="Q47" i="67"/>
  <c r="R47" i="67"/>
  <c r="S47" i="67"/>
  <c r="T47" i="67"/>
  <c r="U47" i="67"/>
  <c r="V47" i="67"/>
  <c r="W47" i="67"/>
  <c r="X47" i="67"/>
  <c r="Y47" i="67"/>
  <c r="Z47" i="67"/>
  <c r="AA47" i="67"/>
  <c r="AB47" i="67"/>
  <c r="AC47" i="67"/>
  <c r="AD47" i="67"/>
  <c r="B48" i="67"/>
  <c r="D48" i="67"/>
  <c r="E48" i="67"/>
  <c r="F48" i="67"/>
  <c r="G48" i="67"/>
  <c r="H48" i="67"/>
  <c r="I48" i="67"/>
  <c r="J48" i="67"/>
  <c r="K48" i="67"/>
  <c r="L48" i="67"/>
  <c r="M48" i="67"/>
  <c r="N48" i="67"/>
  <c r="O48" i="67"/>
  <c r="P48" i="67"/>
  <c r="Q48" i="67"/>
  <c r="R48" i="67"/>
  <c r="S48" i="67"/>
  <c r="T48" i="67"/>
  <c r="U48" i="67"/>
  <c r="V48" i="67"/>
  <c r="W48" i="67"/>
  <c r="X48" i="67"/>
  <c r="Y48" i="67"/>
  <c r="Z48" i="67"/>
  <c r="AA48" i="67"/>
  <c r="AB48" i="67"/>
  <c r="AC48" i="67"/>
  <c r="AD48" i="67"/>
  <c r="B49" i="67"/>
  <c r="D49" i="67"/>
  <c r="E49" i="67"/>
  <c r="F49" i="67"/>
  <c r="G49" i="67"/>
  <c r="H49" i="67"/>
  <c r="I49" i="67"/>
  <c r="J49" i="67"/>
  <c r="K49" i="67"/>
  <c r="L49" i="67"/>
  <c r="M49" i="67"/>
  <c r="N49" i="67"/>
  <c r="O49" i="67"/>
  <c r="P49" i="67"/>
  <c r="Q49" i="67"/>
  <c r="R49" i="67"/>
  <c r="S49" i="67"/>
  <c r="T49" i="67"/>
  <c r="U49" i="67"/>
  <c r="V49" i="67"/>
  <c r="W49" i="67"/>
  <c r="X49" i="67"/>
  <c r="Y49" i="67"/>
  <c r="Z49" i="67"/>
  <c r="AA49" i="67"/>
  <c r="AB49" i="67"/>
  <c r="AC49" i="67"/>
  <c r="AC55" i="67" s="1"/>
  <c r="AD49" i="67"/>
  <c r="B52" i="67"/>
  <c r="D52" i="67"/>
  <c r="E52" i="67"/>
  <c r="F52" i="67"/>
  <c r="G52" i="67"/>
  <c r="H52" i="67"/>
  <c r="I52" i="67"/>
  <c r="J52" i="67"/>
  <c r="K52" i="67"/>
  <c r="L52" i="67"/>
  <c r="M52" i="67"/>
  <c r="N52" i="67"/>
  <c r="O52" i="67"/>
  <c r="P52" i="67"/>
  <c r="Q52" i="67"/>
  <c r="R52" i="67"/>
  <c r="S52" i="67"/>
  <c r="T52" i="67"/>
  <c r="U52" i="67"/>
  <c r="V52" i="67"/>
  <c r="W52" i="67"/>
  <c r="X52" i="67"/>
  <c r="Y52" i="67"/>
  <c r="Z52" i="67"/>
  <c r="AA52" i="67"/>
  <c r="AB52" i="67"/>
  <c r="AC52" i="67"/>
  <c r="AD52" i="67"/>
  <c r="B53" i="67"/>
  <c r="D53" i="67"/>
  <c r="E53" i="67"/>
  <c r="F53" i="67"/>
  <c r="G53" i="67"/>
  <c r="H53" i="67"/>
  <c r="I53" i="67"/>
  <c r="J53" i="67"/>
  <c r="K53" i="67"/>
  <c r="L53" i="67"/>
  <c r="M53" i="67"/>
  <c r="N53" i="67"/>
  <c r="O53" i="67"/>
  <c r="P53" i="67"/>
  <c r="Q53" i="67"/>
  <c r="R53" i="67"/>
  <c r="S53" i="67"/>
  <c r="T53" i="67"/>
  <c r="U53" i="67"/>
  <c r="V53" i="67"/>
  <c r="W53" i="67"/>
  <c r="X53" i="67"/>
  <c r="Y53" i="67"/>
  <c r="Z53" i="67"/>
  <c r="AA53" i="67"/>
  <c r="AB53" i="67"/>
  <c r="AC53" i="67"/>
  <c r="AD53" i="67"/>
  <c r="B54" i="67"/>
  <c r="D54" i="67"/>
  <c r="E54" i="67"/>
  <c r="F54" i="67"/>
  <c r="G54" i="67"/>
  <c r="H54" i="67"/>
  <c r="I54" i="67"/>
  <c r="J54" i="67"/>
  <c r="K54" i="67"/>
  <c r="L54" i="67"/>
  <c r="M54" i="67"/>
  <c r="N54" i="67"/>
  <c r="O54" i="67"/>
  <c r="P54" i="67"/>
  <c r="Q54" i="67"/>
  <c r="R54" i="67"/>
  <c r="S54" i="67"/>
  <c r="T54" i="67"/>
  <c r="U54" i="67"/>
  <c r="V54" i="67"/>
  <c r="W54" i="67"/>
  <c r="X54" i="67"/>
  <c r="Y54" i="67"/>
  <c r="Z54" i="67"/>
  <c r="AA54" i="67"/>
  <c r="AB54" i="67"/>
  <c r="AC54" i="67"/>
  <c r="AD54" i="67"/>
  <c r="B55" i="67"/>
  <c r="D55" i="67"/>
  <c r="E55" i="67"/>
  <c r="F55" i="67"/>
  <c r="G55" i="67"/>
  <c r="H55" i="67"/>
  <c r="I55" i="67"/>
  <c r="J55" i="67"/>
  <c r="K55" i="67"/>
  <c r="L55" i="67"/>
  <c r="M55" i="67"/>
  <c r="N55" i="67"/>
  <c r="O55" i="67"/>
  <c r="P55" i="67"/>
  <c r="Q55" i="67"/>
  <c r="R55" i="67"/>
  <c r="S55" i="67"/>
  <c r="T55" i="67"/>
  <c r="U55" i="67"/>
  <c r="V55" i="67"/>
  <c r="W55" i="67"/>
  <c r="X55" i="67"/>
  <c r="Y55" i="67"/>
  <c r="Z55" i="67"/>
  <c r="AA55" i="67"/>
  <c r="AB55" i="67"/>
  <c r="AD55" i="67"/>
  <c r="AF10" i="49"/>
  <c r="AG10" i="49"/>
  <c r="AH13" i="49"/>
  <c r="D28" i="49"/>
  <c r="E28" i="49"/>
  <c r="F28" i="49"/>
  <c r="G28" i="49"/>
  <c r="H28" i="49"/>
  <c r="I28" i="49"/>
  <c r="I30" i="49" s="1"/>
  <c r="J28" i="49"/>
  <c r="K28" i="49"/>
  <c r="L28" i="49"/>
  <c r="M28" i="49"/>
  <c r="N28" i="49"/>
  <c r="O28" i="49"/>
  <c r="P28" i="49"/>
  <c r="Q28" i="49"/>
  <c r="Q30" i="49" s="1"/>
  <c r="R28" i="49"/>
  <c r="S28" i="49"/>
  <c r="T28" i="49"/>
  <c r="U28" i="49"/>
  <c r="V28" i="49"/>
  <c r="W28" i="49"/>
  <c r="X28" i="49"/>
  <c r="Y28" i="49"/>
  <c r="Y30" i="49" s="1"/>
  <c r="Z28" i="49"/>
  <c r="AA28" i="49"/>
  <c r="AB28" i="49"/>
  <c r="AC28" i="49"/>
  <c r="AD28" i="49"/>
  <c r="D29" i="49"/>
  <c r="D33" i="49" s="1"/>
  <c r="E29" i="49"/>
  <c r="F29" i="49"/>
  <c r="G29" i="49"/>
  <c r="H29" i="49"/>
  <c r="H30" i="49" s="1"/>
  <c r="I29" i="49"/>
  <c r="J29" i="49"/>
  <c r="J30" i="49" s="1"/>
  <c r="K29" i="49"/>
  <c r="L29" i="49"/>
  <c r="L33" i="49" s="1"/>
  <c r="M29" i="49"/>
  <c r="N29" i="49"/>
  <c r="N30" i="49" s="1"/>
  <c r="N35" i="49" s="1"/>
  <c r="O29" i="49"/>
  <c r="P29" i="49"/>
  <c r="P30" i="49" s="1"/>
  <c r="Q29" i="49"/>
  <c r="R29" i="49"/>
  <c r="R30" i="49" s="1"/>
  <c r="S29" i="49"/>
  <c r="T29" i="49"/>
  <c r="T33" i="49" s="1"/>
  <c r="U29" i="49"/>
  <c r="V29" i="49"/>
  <c r="W29" i="49"/>
  <c r="X29" i="49"/>
  <c r="X30" i="49" s="1"/>
  <c r="Y29" i="49"/>
  <c r="Z29" i="49"/>
  <c r="Z30" i="49" s="1"/>
  <c r="AA29" i="49"/>
  <c r="AB29" i="49"/>
  <c r="AB33" i="49" s="1"/>
  <c r="AC29" i="49"/>
  <c r="AD29" i="49"/>
  <c r="AD30" i="49" s="1"/>
  <c r="AD35" i="49" s="1"/>
  <c r="D30" i="49"/>
  <c r="D35" i="49" s="1"/>
  <c r="E30" i="49"/>
  <c r="E33" i="49" s="1"/>
  <c r="K30" i="49"/>
  <c r="K35" i="49" s="1"/>
  <c r="L30" i="49"/>
  <c r="L35" i="49" s="1"/>
  <c r="M30" i="49"/>
  <c r="M33" i="49" s="1"/>
  <c r="S30" i="49"/>
  <c r="S33" i="49" s="1"/>
  <c r="T30" i="49"/>
  <c r="T35" i="49" s="1"/>
  <c r="U30" i="49"/>
  <c r="U33" i="49" s="1"/>
  <c r="AA30" i="49"/>
  <c r="AA33" i="49" s="1"/>
  <c r="AB30" i="49"/>
  <c r="AB35" i="49" s="1"/>
  <c r="AC30" i="49"/>
  <c r="AC33" i="49" s="1"/>
  <c r="E35" i="49"/>
  <c r="M35" i="49"/>
  <c r="U35" i="49"/>
  <c r="AC35" i="49"/>
  <c r="B3" i="71"/>
  <c r="C5" i="71"/>
  <c r="D5" i="71" s="1"/>
  <c r="B13" i="71"/>
  <c r="B15" i="71"/>
  <c r="C15" i="71"/>
  <c r="D15" i="71"/>
  <c r="E15" i="71"/>
  <c r="F15" i="71"/>
  <c r="G15" i="71"/>
  <c r="H15" i="71"/>
  <c r="I15" i="71"/>
  <c r="J15" i="71"/>
  <c r="K15" i="71"/>
  <c r="L15" i="71"/>
  <c r="B16" i="71"/>
  <c r="C16" i="71"/>
  <c r="D16" i="71"/>
  <c r="E16" i="71"/>
  <c r="F16" i="71"/>
  <c r="G16" i="71"/>
  <c r="H16" i="71"/>
  <c r="I16" i="71"/>
  <c r="J16" i="71"/>
  <c r="K16" i="71"/>
  <c r="L16" i="71"/>
  <c r="B17" i="71"/>
  <c r="C17" i="71"/>
  <c r="D17" i="71"/>
  <c r="E17" i="71"/>
  <c r="F17" i="71"/>
  <c r="G17" i="71"/>
  <c r="H17" i="71"/>
  <c r="I17" i="71"/>
  <c r="J17" i="71"/>
  <c r="K17" i="71"/>
  <c r="L17" i="71"/>
  <c r="B18" i="71"/>
  <c r="C18" i="71"/>
  <c r="D18" i="71"/>
  <c r="E18" i="71"/>
  <c r="F18" i="71"/>
  <c r="G18" i="71"/>
  <c r="H18" i="71"/>
  <c r="I18" i="71"/>
  <c r="J18" i="71"/>
  <c r="K18" i="71"/>
  <c r="L18" i="71"/>
  <c r="B24" i="71"/>
  <c r="B34" i="71"/>
  <c r="B35" i="71"/>
  <c r="B41" i="71"/>
  <c r="D41" i="71"/>
  <c r="AE16" i="49" s="1"/>
  <c r="B42" i="71"/>
  <c r="AE46" i="67" s="1"/>
  <c r="D42" i="71"/>
  <c r="B43" i="71"/>
  <c r="AE47" i="67" s="1"/>
  <c r="D43" i="71"/>
  <c r="B44" i="71"/>
  <c r="D44" i="71"/>
  <c r="B45" i="71"/>
  <c r="D45" i="71"/>
  <c r="AE37" i="67" s="1"/>
  <c r="D47" i="71"/>
  <c r="E47" i="71"/>
  <c r="F47" i="71" s="1"/>
  <c r="G47" i="71" s="1"/>
  <c r="H47" i="71" s="1"/>
  <c r="I47" i="71" s="1"/>
  <c r="J47" i="71" s="1"/>
  <c r="K47" i="71" s="1"/>
  <c r="L47" i="71" s="1"/>
  <c r="B52" i="71"/>
  <c r="B98" i="73" s="1"/>
  <c r="B53" i="71"/>
  <c r="B99" i="73" s="1"/>
  <c r="B54" i="71"/>
  <c r="B55" i="71"/>
  <c r="B64" i="71"/>
  <c r="C64" i="71"/>
  <c r="B77" i="71"/>
  <c r="C77" i="71"/>
  <c r="D77" i="71"/>
  <c r="E77" i="71"/>
  <c r="F77" i="71"/>
  <c r="G77" i="71"/>
  <c r="H77" i="71"/>
  <c r="I77" i="71"/>
  <c r="J77" i="71"/>
  <c r="K77" i="71"/>
  <c r="L77" i="71"/>
  <c r="B78" i="71"/>
  <c r="C78" i="71"/>
  <c r="D78" i="71"/>
  <c r="E78" i="71"/>
  <c r="F78" i="71"/>
  <c r="G78" i="71"/>
  <c r="H78" i="71"/>
  <c r="I78" i="71"/>
  <c r="J78" i="71"/>
  <c r="K78" i="71"/>
  <c r="L78" i="71"/>
  <c r="B79" i="71"/>
  <c r="C79" i="71"/>
  <c r="D79" i="71"/>
  <c r="E79" i="71"/>
  <c r="F79" i="71"/>
  <c r="G79" i="71"/>
  <c r="H79" i="71"/>
  <c r="I79" i="71"/>
  <c r="J79" i="71"/>
  <c r="K79" i="71"/>
  <c r="L79" i="71"/>
  <c r="B93" i="71"/>
  <c r="B94" i="71"/>
  <c r="B95" i="71"/>
  <c r="B97" i="71"/>
  <c r="B98" i="71"/>
  <c r="B99" i="71"/>
  <c r="B44" i="73"/>
  <c r="B48" i="73"/>
  <c r="L49" i="73"/>
  <c r="C49" i="73" s="1"/>
  <c r="D49" i="73" s="1"/>
  <c r="E49" i="73" s="1"/>
  <c r="F49" i="73" s="1"/>
  <c r="G49" i="73" s="1"/>
  <c r="H49" i="73" s="1"/>
  <c r="I49" i="73" s="1"/>
  <c r="J49" i="73" s="1"/>
  <c r="K49" i="73" s="1"/>
  <c r="B64" i="73"/>
  <c r="G28" i="70" s="1"/>
  <c r="B66" i="73"/>
  <c r="G30" i="70" s="1"/>
  <c r="L75" i="73"/>
  <c r="C75" i="73" s="1"/>
  <c r="D75" i="73" s="1"/>
  <c r="E75" i="73" s="1"/>
  <c r="F75" i="73" s="1"/>
  <c r="G75" i="73" s="1"/>
  <c r="H75" i="73" s="1"/>
  <c r="I75" i="73" s="1"/>
  <c r="J75" i="73" s="1"/>
  <c r="K75" i="73" s="1"/>
  <c r="L76" i="73"/>
  <c r="C76" i="73" s="1"/>
  <c r="D76" i="73" s="1"/>
  <c r="E76" i="73" s="1"/>
  <c r="F76" i="73" s="1"/>
  <c r="G76" i="73" s="1"/>
  <c r="H76" i="73" s="1"/>
  <c r="I76" i="73" s="1"/>
  <c r="J76" i="73" s="1"/>
  <c r="K76" i="73" s="1"/>
  <c r="L77" i="73"/>
  <c r="C77" i="73" s="1"/>
  <c r="D77" i="73" s="1"/>
  <c r="E77" i="73" s="1"/>
  <c r="F77" i="73" s="1"/>
  <c r="G77" i="73" s="1"/>
  <c r="H77" i="73" s="1"/>
  <c r="I77" i="73" s="1"/>
  <c r="J77" i="73" s="1"/>
  <c r="K77" i="73" s="1"/>
  <c r="L78" i="73"/>
  <c r="C78" i="73" s="1"/>
  <c r="D78" i="73" s="1"/>
  <c r="E78" i="73" s="1"/>
  <c r="F78" i="73" s="1"/>
  <c r="G78" i="73" s="1"/>
  <c r="H78" i="73" s="1"/>
  <c r="I78" i="73" s="1"/>
  <c r="J78" i="73" s="1"/>
  <c r="K78" i="73" s="1"/>
  <c r="L164" i="73"/>
  <c r="L166" i="73" s="1"/>
  <c r="B212" i="73"/>
  <c r="C212" i="73"/>
  <c r="D212" i="73"/>
  <c r="B213" i="73"/>
  <c r="C213" i="73"/>
  <c r="D213" i="73"/>
  <c r="B214" i="73"/>
  <c r="C214" i="73"/>
  <c r="D214" i="73"/>
  <c r="B215" i="73"/>
  <c r="C215" i="73"/>
  <c r="D215" i="73"/>
  <c r="B216" i="73"/>
  <c r="C216" i="73"/>
  <c r="D216" i="73"/>
  <c r="B217" i="73"/>
  <c r="C217" i="73"/>
  <c r="D217" i="73"/>
  <c r="B218" i="73"/>
  <c r="C218" i="73"/>
  <c r="D218" i="73"/>
  <c r="B222" i="73"/>
  <c r="C222" i="73"/>
  <c r="B223" i="73"/>
  <c r="C223" i="73"/>
  <c r="B224" i="73"/>
  <c r="C224" i="73"/>
  <c r="B225" i="73"/>
  <c r="C225" i="73"/>
  <c r="B226" i="73"/>
  <c r="C226" i="73"/>
  <c r="P2" i="70"/>
  <c r="O2" i="70" s="1"/>
  <c r="N2" i="70" s="1"/>
  <c r="M2" i="70" s="1"/>
  <c r="L2" i="70" s="1"/>
  <c r="K2" i="70" s="1"/>
  <c r="J2" i="70" s="1"/>
  <c r="I2" i="70" s="1"/>
  <c r="H2" i="70" s="1"/>
  <c r="G2" i="70" s="1"/>
  <c r="C13" i="71"/>
  <c r="G4" i="70"/>
  <c r="B14" i="71" s="1"/>
  <c r="F20" i="70"/>
  <c r="F21" i="70"/>
  <c r="F22" i="70"/>
  <c r="F23" i="70"/>
  <c r="F24" i="70"/>
  <c r="F25" i="70"/>
  <c r="F26" i="70"/>
  <c r="F27" i="70"/>
  <c r="F28" i="70"/>
  <c r="F29" i="70"/>
  <c r="F30" i="70"/>
  <c r="F32" i="70"/>
  <c r="C30" i="70"/>
  <c r="C31" i="70" s="1"/>
  <c r="C186" i="73" s="1"/>
  <c r="F33" i="70"/>
  <c r="F34" i="70"/>
  <c r="F35" i="70"/>
  <c r="F36" i="70"/>
  <c r="F37" i="70"/>
  <c r="F38" i="70"/>
  <c r="F39" i="70"/>
  <c r="F40" i="70"/>
  <c r="F41" i="70"/>
  <c r="F42" i="70"/>
  <c r="F43" i="70"/>
  <c r="F44" i="70"/>
  <c r="G46" i="70"/>
  <c r="C45" i="70"/>
  <c r="B72" i="70"/>
  <c r="B74" i="70"/>
  <c r="C74" i="70" s="1"/>
  <c r="B75" i="70"/>
  <c r="B80" i="70"/>
  <c r="B202" i="73" s="1"/>
  <c r="B81" i="70"/>
  <c r="B200" i="73" s="1"/>
  <c r="B82" i="70"/>
  <c r="B201" i="73" s="1"/>
  <c r="B83" i="70"/>
  <c r="B207" i="73" s="1"/>
  <c r="C207" i="73" s="1"/>
  <c r="D207" i="73" s="1"/>
  <c r="E207" i="73" s="1"/>
  <c r="F207" i="73" s="1"/>
  <c r="G207" i="73" s="1"/>
  <c r="H207" i="73" s="1"/>
  <c r="I207" i="73" s="1"/>
  <c r="J207" i="73" s="1"/>
  <c r="K207" i="73" s="1"/>
  <c r="B203" i="73" l="1"/>
  <c r="C200" i="73"/>
  <c r="C203" i="73" s="1"/>
  <c r="B204" i="73"/>
  <c r="C201" i="73"/>
  <c r="C204" i="73" s="1"/>
  <c r="C181" i="73"/>
  <c r="D181" i="73"/>
  <c r="D16" i="73" s="1"/>
  <c r="E181" i="73"/>
  <c r="E16" i="73" s="1"/>
  <c r="F181" i="73"/>
  <c r="F16" i="73" s="1"/>
  <c r="G181" i="73"/>
  <c r="G16" i="73" s="1"/>
  <c r="H181" i="73"/>
  <c r="H16" i="73" s="1"/>
  <c r="I181" i="73"/>
  <c r="I16" i="73" s="1"/>
  <c r="J181" i="73"/>
  <c r="J16" i="73" s="1"/>
  <c r="K181" i="73"/>
  <c r="K16" i="73" s="1"/>
  <c r="L181" i="73"/>
  <c r="L16" i="73" s="1"/>
  <c r="B205" i="73"/>
  <c r="C202" i="73"/>
  <c r="C192" i="73"/>
  <c r="C9" i="73"/>
  <c r="C39" i="73" s="1"/>
  <c r="D192" i="73"/>
  <c r="D9" i="73"/>
  <c r="C7" i="73"/>
  <c r="C187" i="73"/>
  <c r="C164" i="73"/>
  <c r="C166" i="73" s="1"/>
  <c r="C168" i="73" s="1"/>
  <c r="C25" i="73" s="1"/>
  <c r="L169" i="73"/>
  <c r="L15" i="73" s="1"/>
  <c r="Y35" i="49"/>
  <c r="Y33" i="49"/>
  <c r="Q33" i="49"/>
  <c r="Q35" i="49"/>
  <c r="Z33" i="49"/>
  <c r="Z35" i="49"/>
  <c r="R33" i="49"/>
  <c r="R35" i="49"/>
  <c r="J33" i="49"/>
  <c r="J35" i="49"/>
  <c r="I33" i="49"/>
  <c r="I35" i="49"/>
  <c r="X35" i="49"/>
  <c r="X33" i="49"/>
  <c r="P35" i="49"/>
  <c r="P33" i="49"/>
  <c r="H35" i="49"/>
  <c r="H33" i="49"/>
  <c r="E5" i="71"/>
  <c r="E64" i="71" s="1"/>
  <c r="D64" i="71"/>
  <c r="W33" i="49"/>
  <c r="O33" i="49"/>
  <c r="AA35" i="49"/>
  <c r="W30" i="49"/>
  <c r="W35" i="49" s="1"/>
  <c r="O30" i="49"/>
  <c r="O35" i="49" s="1"/>
  <c r="G30" i="49"/>
  <c r="G35" i="49" s="1"/>
  <c r="S35" i="49"/>
  <c r="AD33" i="49"/>
  <c r="N33" i="49"/>
  <c r="K33" i="49"/>
  <c r="V30" i="49"/>
  <c r="V35" i="49" s="1"/>
  <c r="F30" i="49"/>
  <c r="F35" i="49" s="1"/>
  <c r="F5" i="71"/>
  <c r="B46" i="73"/>
  <c r="B76" i="70"/>
  <c r="C53" i="71"/>
  <c r="C99" i="73" s="1"/>
  <c r="B77" i="70"/>
  <c r="H4" i="70"/>
  <c r="C93" i="71"/>
  <c r="D93" i="71" s="1"/>
  <c r="C52" i="71"/>
  <c r="D52" i="71" s="1"/>
  <c r="C94" i="71"/>
  <c r="D94" i="71" s="1"/>
  <c r="E94" i="71" s="1"/>
  <c r="C95" i="71"/>
  <c r="D95" i="71" s="1"/>
  <c r="AE49" i="67"/>
  <c r="AE13" i="67" s="1"/>
  <c r="L51" i="73"/>
  <c r="C51" i="73" s="1"/>
  <c r="D51" i="73" s="1"/>
  <c r="E51" i="73" s="1"/>
  <c r="F51" i="73" s="1"/>
  <c r="G51" i="73" s="1"/>
  <c r="H51" i="73" s="1"/>
  <c r="I51" i="73" s="1"/>
  <c r="J51" i="73" s="1"/>
  <c r="K51" i="73" s="1"/>
  <c r="C76" i="70"/>
  <c r="C77" i="70"/>
  <c r="AE10" i="67"/>
  <c r="AF46" i="67"/>
  <c r="L50" i="73"/>
  <c r="C50" i="73" s="1"/>
  <c r="D50" i="73" s="1"/>
  <c r="E50" i="73" s="1"/>
  <c r="F50" i="73" s="1"/>
  <c r="G50" i="73" s="1"/>
  <c r="H50" i="73" s="1"/>
  <c r="I50" i="73" s="1"/>
  <c r="J50" i="73" s="1"/>
  <c r="K50" i="73" s="1"/>
  <c r="AF49" i="67"/>
  <c r="AF16" i="49"/>
  <c r="AE30" i="49"/>
  <c r="AE28" i="49"/>
  <c r="AF48" i="67"/>
  <c r="AF37" i="67"/>
  <c r="AE48" i="67"/>
  <c r="AE12" i="67" s="1"/>
  <c r="C16" i="73" l="1"/>
  <c r="M181" i="73"/>
  <c r="D201" i="73"/>
  <c r="M16" i="73"/>
  <c r="C180" i="73"/>
  <c r="D180" i="73"/>
  <c r="D26" i="73" s="1"/>
  <c r="E180" i="73"/>
  <c r="E26" i="73" s="1"/>
  <c r="F180" i="73"/>
  <c r="F26" i="73" s="1"/>
  <c r="G180" i="73"/>
  <c r="G26" i="73" s="1"/>
  <c r="H180" i="73"/>
  <c r="H26" i="73" s="1"/>
  <c r="I180" i="73"/>
  <c r="I26" i="73" s="1"/>
  <c r="J180" i="73"/>
  <c r="J26" i="73" s="1"/>
  <c r="K180" i="73"/>
  <c r="K26" i="73" s="1"/>
  <c r="L180" i="73"/>
  <c r="L26" i="73" s="1"/>
  <c r="L168" i="73"/>
  <c r="L25" i="73" s="1"/>
  <c r="D200" i="73"/>
  <c r="D202" i="73"/>
  <c r="C205" i="73"/>
  <c r="M7" i="73"/>
  <c r="B5" i="70" s="1"/>
  <c r="C37" i="73"/>
  <c r="M37" i="73" s="1"/>
  <c r="M9" i="73"/>
  <c r="B7" i="70" s="1"/>
  <c r="D39" i="73"/>
  <c r="M39" i="73" s="1"/>
  <c r="M192" i="73"/>
  <c r="D164" i="73"/>
  <c r="D166" i="73" s="1"/>
  <c r="D168" i="73" s="1"/>
  <c r="D25" i="73" s="1"/>
  <c r="D46" i="73"/>
  <c r="F33" i="49"/>
  <c r="V33" i="49"/>
  <c r="G33" i="49"/>
  <c r="B59" i="73"/>
  <c r="B61" i="73"/>
  <c r="G25" i="70" s="1"/>
  <c r="B60" i="73"/>
  <c r="G24" i="70" s="1"/>
  <c r="B58" i="73"/>
  <c r="G22" i="70" s="1"/>
  <c r="G20" i="70"/>
  <c r="G5" i="71"/>
  <c r="F64" i="71"/>
  <c r="C98" i="73"/>
  <c r="D53" i="71"/>
  <c r="D99" i="73" s="1"/>
  <c r="AE29" i="49"/>
  <c r="AE13" i="49" s="1"/>
  <c r="D13" i="71"/>
  <c r="I4" i="70"/>
  <c r="C14" i="71"/>
  <c r="AF10" i="67"/>
  <c r="AG46" i="67"/>
  <c r="E93" i="71"/>
  <c r="AG49" i="67"/>
  <c r="B71" i="71" s="1"/>
  <c r="AF13" i="67"/>
  <c r="AG37" i="67"/>
  <c r="F94" i="71"/>
  <c r="E52" i="71"/>
  <c r="D98" i="73"/>
  <c r="L61" i="73"/>
  <c r="L59" i="73"/>
  <c r="L85" i="73" s="1"/>
  <c r="L60" i="73"/>
  <c r="I20" i="70"/>
  <c r="B10" i="71"/>
  <c r="AF47" i="67"/>
  <c r="AE11" i="67"/>
  <c r="E95" i="71"/>
  <c r="L48" i="73"/>
  <c r="AF12" i="67"/>
  <c r="AG48" i="67"/>
  <c r="B70" i="71" s="1"/>
  <c r="AG16" i="49"/>
  <c r="AF30" i="49"/>
  <c r="B9" i="71"/>
  <c r="AF28" i="49"/>
  <c r="C26" i="73" l="1"/>
  <c r="M26" i="73" s="1"/>
  <c r="M180" i="73"/>
  <c r="D204" i="73"/>
  <c r="E201" i="73"/>
  <c r="D203" i="73"/>
  <c r="E200" i="73"/>
  <c r="E202" i="73"/>
  <c r="D205" i="73"/>
  <c r="C169" i="73"/>
  <c r="C15" i="73" s="1"/>
  <c r="E164" i="73"/>
  <c r="E166" i="73" s="1"/>
  <c r="E168" i="73" s="1"/>
  <c r="E25" i="73" s="1"/>
  <c r="D169" i="73"/>
  <c r="D15" i="73" s="1"/>
  <c r="L58" i="73"/>
  <c r="I22" i="70" s="1"/>
  <c r="C48" i="73"/>
  <c r="D48" i="73" s="1"/>
  <c r="E48" i="73" s="1"/>
  <c r="F48" i="73" s="1"/>
  <c r="G48" i="73" s="1"/>
  <c r="H48" i="73" s="1"/>
  <c r="I48" i="73" s="1"/>
  <c r="J48" i="73" s="1"/>
  <c r="K48" i="73" s="1"/>
  <c r="E46" i="73"/>
  <c r="H5" i="71"/>
  <c r="G64" i="71"/>
  <c r="B85" i="73"/>
  <c r="B94" i="73" s="1"/>
  <c r="G23" i="70"/>
  <c r="E53" i="71"/>
  <c r="D14" i="71"/>
  <c r="J4" i="70"/>
  <c r="E13" i="71"/>
  <c r="I25" i="70"/>
  <c r="AG13" i="67"/>
  <c r="B75" i="71" s="1"/>
  <c r="B83" i="71" s="1"/>
  <c r="B67" i="71"/>
  <c r="L89" i="73"/>
  <c r="L94" i="73"/>
  <c r="I39" i="70"/>
  <c r="C59" i="73"/>
  <c r="C85" i="73" s="1"/>
  <c r="C60" i="73"/>
  <c r="C61" i="73"/>
  <c r="F52" i="71"/>
  <c r="E98" i="73"/>
  <c r="F93" i="71"/>
  <c r="B7" i="71"/>
  <c r="AG30" i="49"/>
  <c r="B6" i="71"/>
  <c r="AG28" i="49"/>
  <c r="AG12" i="67"/>
  <c r="B74" i="71" s="1"/>
  <c r="B82" i="71" s="1"/>
  <c r="B66" i="71"/>
  <c r="G50" i="70" s="1"/>
  <c r="F95" i="71"/>
  <c r="AG47" i="67"/>
  <c r="B69" i="71" s="1"/>
  <c r="AF11" i="67"/>
  <c r="I24" i="70"/>
  <c r="G94" i="71"/>
  <c r="AG10" i="67"/>
  <c r="B8" i="71"/>
  <c r="AF29" i="49"/>
  <c r="AF13" i="49" s="1"/>
  <c r="I23" i="70"/>
  <c r="E203" i="73" l="1"/>
  <c r="F200" i="73"/>
  <c r="F202" i="73"/>
  <c r="E205" i="73"/>
  <c r="E204" i="73"/>
  <c r="F201" i="73"/>
  <c r="F164" i="73"/>
  <c r="F166" i="73" s="1"/>
  <c r="F168" i="73" s="1"/>
  <c r="F25" i="73" s="1"/>
  <c r="E169" i="73"/>
  <c r="E15" i="73" s="1"/>
  <c r="C58" i="73"/>
  <c r="F46" i="73"/>
  <c r="B89" i="73"/>
  <c r="G43" i="70" s="1"/>
  <c r="G39" i="70"/>
  <c r="I5" i="71"/>
  <c r="H64" i="71"/>
  <c r="G52" i="70"/>
  <c r="F53" i="71"/>
  <c r="E99" i="73"/>
  <c r="F13" i="71"/>
  <c r="AG29" i="49"/>
  <c r="AG13" i="49" s="1"/>
  <c r="E14" i="71"/>
  <c r="K4" i="70"/>
  <c r="G95" i="71"/>
  <c r="G93" i="71"/>
  <c r="C89" i="73"/>
  <c r="C94" i="73"/>
  <c r="C67" i="71"/>
  <c r="C71" i="71"/>
  <c r="C66" i="71"/>
  <c r="C70" i="71"/>
  <c r="B87" i="71"/>
  <c r="B124" i="73" s="1"/>
  <c r="B134" i="73" s="1"/>
  <c r="B104" i="71"/>
  <c r="B144" i="73" s="1"/>
  <c r="AG11" i="67"/>
  <c r="B73" i="71" s="1"/>
  <c r="B81" i="71" s="1"/>
  <c r="B65" i="71"/>
  <c r="B103" i="71"/>
  <c r="B143" i="73" s="1"/>
  <c r="B86" i="71"/>
  <c r="B123" i="73" s="1"/>
  <c r="B133" i="73" s="1"/>
  <c r="G52" i="71"/>
  <c r="F98" i="73"/>
  <c r="D58" i="73"/>
  <c r="D60" i="73"/>
  <c r="D61" i="73"/>
  <c r="D59" i="73"/>
  <c r="D85" i="73" s="1"/>
  <c r="H94" i="71"/>
  <c r="C10" i="71"/>
  <c r="B65" i="73"/>
  <c r="B33" i="71"/>
  <c r="B25" i="71"/>
  <c r="B11" i="71"/>
  <c r="B12" i="71" s="1"/>
  <c r="B49" i="71"/>
  <c r="C6" i="71"/>
  <c r="B32" i="71"/>
  <c r="C9" i="71"/>
  <c r="B63" i="73"/>
  <c r="I43" i="70"/>
  <c r="F204" i="73" l="1"/>
  <c r="G201" i="73"/>
  <c r="G202" i="73"/>
  <c r="F205" i="73"/>
  <c r="F203" i="73"/>
  <c r="G200" i="73"/>
  <c r="G164" i="73"/>
  <c r="G166" i="73" s="1"/>
  <c r="G168" i="73" s="1"/>
  <c r="G25" i="73" s="1"/>
  <c r="F169" i="73"/>
  <c r="F15" i="73" s="1"/>
  <c r="G46" i="73"/>
  <c r="J5" i="71"/>
  <c r="I64" i="71"/>
  <c r="G53" i="70"/>
  <c r="G58" i="70" s="1"/>
  <c r="G51" i="70"/>
  <c r="G57" i="70" s="1"/>
  <c r="G53" i="71"/>
  <c r="F99" i="73"/>
  <c r="F14" i="71"/>
  <c r="L4" i="70"/>
  <c r="G13" i="71"/>
  <c r="B37" i="71"/>
  <c r="G48" i="70"/>
  <c r="I94" i="71"/>
  <c r="B20" i="71"/>
  <c r="B57" i="71" s="1"/>
  <c r="B21" i="71"/>
  <c r="B58" i="71" s="1"/>
  <c r="B102" i="73" s="1"/>
  <c r="D89" i="73"/>
  <c r="D94" i="73"/>
  <c r="H93" i="71"/>
  <c r="C69" i="71"/>
  <c r="C65" i="71"/>
  <c r="C49" i="71"/>
  <c r="C11" i="71"/>
  <c r="C12" i="71" s="1"/>
  <c r="C7" i="71" s="1"/>
  <c r="D6" i="71"/>
  <c r="D66" i="71"/>
  <c r="D70" i="71"/>
  <c r="C74" i="71"/>
  <c r="C82" i="71" s="1"/>
  <c r="B85" i="71"/>
  <c r="B122" i="73" s="1"/>
  <c r="B132" i="73" s="1"/>
  <c r="B102" i="71"/>
  <c r="H52" i="71"/>
  <c r="G98" i="73"/>
  <c r="E61" i="73"/>
  <c r="E58" i="73"/>
  <c r="E59" i="73"/>
  <c r="E85" i="73" s="1"/>
  <c r="E60" i="73"/>
  <c r="H95" i="71"/>
  <c r="B68" i="73"/>
  <c r="B69" i="73"/>
  <c r="B71" i="73"/>
  <c r="G36" i="70" s="1"/>
  <c r="G27" i="70"/>
  <c r="B70" i="73"/>
  <c r="G35" i="70" s="1"/>
  <c r="G29" i="70"/>
  <c r="B90" i="71"/>
  <c r="B128" i="73"/>
  <c r="B138" i="73" s="1"/>
  <c r="B91" i="71"/>
  <c r="B129" i="73"/>
  <c r="B139" i="73" s="1"/>
  <c r="D71" i="71"/>
  <c r="C75" i="71"/>
  <c r="C83" i="71" s="1"/>
  <c r="D67" i="71"/>
  <c r="G203" i="73" l="1"/>
  <c r="H200" i="73"/>
  <c r="H202" i="73"/>
  <c r="G205" i="73"/>
  <c r="G204" i="73"/>
  <c r="H201" i="73"/>
  <c r="H164" i="73"/>
  <c r="H166" i="73" s="1"/>
  <c r="H168" i="73" s="1"/>
  <c r="H25" i="73" s="1"/>
  <c r="G169" i="73"/>
  <c r="G15" i="73" s="1"/>
  <c r="H46" i="73"/>
  <c r="K5" i="71"/>
  <c r="J64" i="71"/>
  <c r="C86" i="71"/>
  <c r="G49" i="70"/>
  <c r="G54" i="70" s="1"/>
  <c r="G31" i="70"/>
  <c r="G99" i="73"/>
  <c r="H53" i="71"/>
  <c r="H13" i="71"/>
  <c r="G14" i="71"/>
  <c r="M4" i="70"/>
  <c r="G61" i="70"/>
  <c r="D9" i="71"/>
  <c r="C32" i="71"/>
  <c r="C104" i="71"/>
  <c r="B86" i="73"/>
  <c r="G34" i="70"/>
  <c r="B84" i="73"/>
  <c r="G33" i="70"/>
  <c r="B59" i="71"/>
  <c r="B101" i="73"/>
  <c r="B105" i="71"/>
  <c r="B142" i="73"/>
  <c r="C21" i="71"/>
  <c r="C20" i="71"/>
  <c r="E71" i="71"/>
  <c r="D75" i="71"/>
  <c r="D83" i="71" s="1"/>
  <c r="E67" i="71"/>
  <c r="B89" i="71"/>
  <c r="B127" i="73"/>
  <c r="J94" i="71"/>
  <c r="E66" i="71"/>
  <c r="E70" i="71"/>
  <c r="D74" i="71"/>
  <c r="D82" i="71" s="1"/>
  <c r="E89" i="73"/>
  <c r="E94" i="73"/>
  <c r="D65" i="71"/>
  <c r="D69" i="71"/>
  <c r="C73" i="71"/>
  <c r="C81" i="71" s="1"/>
  <c r="F58" i="73"/>
  <c r="F60" i="73"/>
  <c r="F61" i="73"/>
  <c r="F59" i="73"/>
  <c r="F85" i="73" s="1"/>
  <c r="E6" i="71"/>
  <c r="D49" i="71"/>
  <c r="D11" i="71"/>
  <c r="C87" i="71"/>
  <c r="C124" i="73" s="1"/>
  <c r="C134" i="73" s="1"/>
  <c r="I95" i="71"/>
  <c r="I93" i="71"/>
  <c r="C103" i="71"/>
  <c r="I52" i="71"/>
  <c r="H98" i="73"/>
  <c r="C8" i="71"/>
  <c r="H204" i="73" l="1"/>
  <c r="I201" i="73"/>
  <c r="I202" i="73"/>
  <c r="H205" i="73"/>
  <c r="H203" i="73"/>
  <c r="I200" i="73"/>
  <c r="B93" i="73"/>
  <c r="B106" i="73"/>
  <c r="B90" i="73"/>
  <c r="B107" i="73"/>
  <c r="B103" i="73"/>
  <c r="B104" i="73" s="1"/>
  <c r="B111" i="73" s="1"/>
  <c r="C90" i="71"/>
  <c r="C123" i="73"/>
  <c r="C133" i="73" s="1"/>
  <c r="B130" i="73"/>
  <c r="B149" i="73" s="1"/>
  <c r="B137" i="73"/>
  <c r="I164" i="73"/>
  <c r="I166" i="73" s="1"/>
  <c r="I168" i="73" s="1"/>
  <c r="I25" i="73" s="1"/>
  <c r="H169" i="73"/>
  <c r="H15" i="73" s="1"/>
  <c r="B95" i="73"/>
  <c r="I46" i="73"/>
  <c r="G56" i="70"/>
  <c r="D86" i="71"/>
  <c r="C128" i="73"/>
  <c r="L5" i="71"/>
  <c r="L64" i="71" s="1"/>
  <c r="K64" i="71"/>
  <c r="G60" i="70"/>
  <c r="G68" i="70"/>
  <c r="C85" i="71"/>
  <c r="C122" i="73" s="1"/>
  <c r="G66" i="70"/>
  <c r="G67" i="70"/>
  <c r="I53" i="71"/>
  <c r="H99" i="73"/>
  <c r="H14" i="71"/>
  <c r="N4" i="70"/>
  <c r="I13" i="71"/>
  <c r="D87" i="71"/>
  <c r="D124" i="73" s="1"/>
  <c r="D134" i="73" s="1"/>
  <c r="D104" i="71"/>
  <c r="D144" i="73" s="1"/>
  <c r="B135" i="73"/>
  <c r="B150" i="73" s="1"/>
  <c r="B24" i="73" s="1"/>
  <c r="B125" i="73"/>
  <c r="B148" i="73" s="1"/>
  <c r="C91" i="71"/>
  <c r="C129" i="73"/>
  <c r="C139" i="73" s="1"/>
  <c r="E65" i="71"/>
  <c r="E69" i="71"/>
  <c r="D73" i="71"/>
  <c r="D81" i="71" s="1"/>
  <c r="K94" i="71"/>
  <c r="F67" i="71"/>
  <c r="F71" i="71"/>
  <c r="E75" i="71"/>
  <c r="E83" i="71" s="1"/>
  <c r="C144" i="73"/>
  <c r="J52" i="71"/>
  <c r="I98" i="73"/>
  <c r="C57" i="71"/>
  <c r="C22" i="71"/>
  <c r="C23" i="71"/>
  <c r="C65" i="73" s="1"/>
  <c r="C58" i="71"/>
  <c r="C102" i="73" s="1"/>
  <c r="B88" i="73"/>
  <c r="G38" i="70"/>
  <c r="G61" i="73"/>
  <c r="G58" i="73"/>
  <c r="G59" i="73"/>
  <c r="G85" i="73" s="1"/>
  <c r="G60" i="73"/>
  <c r="J93" i="71"/>
  <c r="D10" i="71"/>
  <c r="D12" i="71" s="1"/>
  <c r="D8" i="71" s="1"/>
  <c r="C33" i="71"/>
  <c r="C37" i="71" s="1"/>
  <c r="B145" i="73"/>
  <c r="B152" i="73" s="1"/>
  <c r="C143" i="73"/>
  <c r="F6" i="71"/>
  <c r="E49" i="71"/>
  <c r="E11" i="71"/>
  <c r="C102" i="71"/>
  <c r="F66" i="71"/>
  <c r="E74" i="71"/>
  <c r="E82" i="71" s="1"/>
  <c r="E86" i="71" s="1"/>
  <c r="E123" i="73" s="1"/>
  <c r="E133" i="73" s="1"/>
  <c r="F70" i="71"/>
  <c r="G40" i="70"/>
  <c r="D103" i="71"/>
  <c r="D143" i="73" s="1"/>
  <c r="J95" i="71"/>
  <c r="F89" i="73"/>
  <c r="F94" i="73"/>
  <c r="I203" i="73" l="1"/>
  <c r="J200" i="73"/>
  <c r="J202" i="73"/>
  <c r="I205" i="73"/>
  <c r="I204" i="73"/>
  <c r="J201" i="73"/>
  <c r="B110" i="73"/>
  <c r="B3" i="73" s="1"/>
  <c r="B33" i="73" s="1"/>
  <c r="C138" i="73"/>
  <c r="D90" i="71"/>
  <c r="D123" i="73"/>
  <c r="D133" i="73" s="1"/>
  <c r="G62" i="70"/>
  <c r="G63" i="70" s="1"/>
  <c r="J164" i="73"/>
  <c r="J166" i="73" s="1"/>
  <c r="J168" i="73" s="1"/>
  <c r="J25" i="73" s="1"/>
  <c r="I169" i="73"/>
  <c r="I15" i="73" s="1"/>
  <c r="B4" i="73"/>
  <c r="B34" i="73" s="1"/>
  <c r="K46" i="73"/>
  <c r="J46" i="73"/>
  <c r="D128" i="73"/>
  <c r="C127" i="73"/>
  <c r="D85" i="71"/>
  <c r="D122" i="73" s="1"/>
  <c r="C89" i="71"/>
  <c r="G44" i="70"/>
  <c r="I99" i="73"/>
  <c r="J53" i="71"/>
  <c r="E87" i="71"/>
  <c r="E124" i="73" s="1"/>
  <c r="E134" i="73" s="1"/>
  <c r="J13" i="71"/>
  <c r="I14" i="71"/>
  <c r="O4" i="70"/>
  <c r="B140" i="73"/>
  <c r="B151" i="73" s="1"/>
  <c r="G65" i="70"/>
  <c r="D33" i="71"/>
  <c r="E10" i="71"/>
  <c r="E104" i="71"/>
  <c r="E103" i="71"/>
  <c r="E143" i="73" s="1"/>
  <c r="H59" i="73"/>
  <c r="H85" i="73" s="1"/>
  <c r="H60" i="73"/>
  <c r="H61" i="73"/>
  <c r="H58" i="73"/>
  <c r="K52" i="71"/>
  <c r="J98" i="73"/>
  <c r="C125" i="73"/>
  <c r="C148" i="73" s="1"/>
  <c r="C34" i="71"/>
  <c r="C64" i="73" s="1"/>
  <c r="C24" i="71"/>
  <c r="C25" i="71" s="1"/>
  <c r="C63" i="73"/>
  <c r="G67" i="71"/>
  <c r="G71" i="71"/>
  <c r="F75" i="71"/>
  <c r="F83" i="71" s="1"/>
  <c r="G70" i="71"/>
  <c r="F74" i="71"/>
  <c r="F82" i="71" s="1"/>
  <c r="F86" i="71" s="1"/>
  <c r="F123" i="73" s="1"/>
  <c r="F133" i="73" s="1"/>
  <c r="G66" i="71"/>
  <c r="B96" i="73"/>
  <c r="B108" i="73" s="1"/>
  <c r="B23" i="73" s="1"/>
  <c r="C59" i="71"/>
  <c r="C101" i="73"/>
  <c r="B91" i="73"/>
  <c r="G42" i="70"/>
  <c r="L94" i="71"/>
  <c r="F11" i="71"/>
  <c r="G6" i="71"/>
  <c r="F49" i="71"/>
  <c r="D91" i="71"/>
  <c r="D129" i="73"/>
  <c r="D139" i="73" s="1"/>
  <c r="K95" i="71"/>
  <c r="C105" i="71"/>
  <c r="C142" i="73"/>
  <c r="G89" i="73"/>
  <c r="G94" i="73"/>
  <c r="B146" i="73"/>
  <c r="B153" i="73" s="1"/>
  <c r="C35" i="71"/>
  <c r="C66" i="73"/>
  <c r="D21" i="71"/>
  <c r="D58" i="71" s="1"/>
  <c r="D102" i="73" s="1"/>
  <c r="D20" i="71"/>
  <c r="D57" i="71" s="1"/>
  <c r="D102" i="71"/>
  <c r="K93" i="71"/>
  <c r="F65" i="71"/>
  <c r="F69" i="71"/>
  <c r="E73" i="71"/>
  <c r="E81" i="71" s="1"/>
  <c r="D7" i="71"/>
  <c r="J204" i="73" l="1"/>
  <c r="K201" i="73"/>
  <c r="K204" i="73" s="1"/>
  <c r="K202" i="73"/>
  <c r="K205" i="73" s="1"/>
  <c r="J205" i="73"/>
  <c r="J203" i="73"/>
  <c r="K200" i="73"/>
  <c r="K203" i="73" s="1"/>
  <c r="B109" i="73"/>
  <c r="B13" i="73" s="1"/>
  <c r="B14" i="73"/>
  <c r="C103" i="73"/>
  <c r="C110" i="73" s="1"/>
  <c r="C3" i="73" s="1"/>
  <c r="C33" i="73" s="1"/>
  <c r="D138" i="73"/>
  <c r="B30" i="73"/>
  <c r="C130" i="73"/>
  <c r="C149" i="73" s="1"/>
  <c r="C137" i="73"/>
  <c r="K164" i="73"/>
  <c r="K166" i="73" s="1"/>
  <c r="J169" i="73"/>
  <c r="J15" i="73" s="1"/>
  <c r="E85" i="71"/>
  <c r="E122" i="73" s="1"/>
  <c r="D127" i="73"/>
  <c r="D89" i="71"/>
  <c r="C132" i="73"/>
  <c r="C135" i="73" s="1"/>
  <c r="F87" i="71"/>
  <c r="F124" i="73" s="1"/>
  <c r="F134" i="73" s="1"/>
  <c r="G45" i="70"/>
  <c r="J99" i="73"/>
  <c r="K53" i="71"/>
  <c r="C71" i="73"/>
  <c r="J14" i="71"/>
  <c r="P4" i="70"/>
  <c r="C70" i="73"/>
  <c r="K13" i="71"/>
  <c r="L13" i="71"/>
  <c r="D23" i="71"/>
  <c r="D65" i="73" s="1"/>
  <c r="F103" i="71"/>
  <c r="F143" i="73" s="1"/>
  <c r="F104" i="71"/>
  <c r="F144" i="73" s="1"/>
  <c r="E102" i="71"/>
  <c r="C68" i="73"/>
  <c r="L52" i="71"/>
  <c r="K98" i="73"/>
  <c r="M98" i="73" s="1"/>
  <c r="D125" i="73"/>
  <c r="D148" i="73" s="1"/>
  <c r="D22" i="71"/>
  <c r="L95" i="71"/>
  <c r="C69" i="73"/>
  <c r="H70" i="71"/>
  <c r="G74" i="71"/>
  <c r="G82" i="71" s="1"/>
  <c r="G86" i="71" s="1"/>
  <c r="G123" i="73" s="1"/>
  <c r="G133" i="73" s="1"/>
  <c r="H66" i="71"/>
  <c r="H67" i="71"/>
  <c r="H71" i="71"/>
  <c r="G75" i="71"/>
  <c r="G83" i="71" s="1"/>
  <c r="G65" i="71"/>
  <c r="G69" i="71"/>
  <c r="F73" i="71"/>
  <c r="F81" i="71" s="1"/>
  <c r="D59" i="71"/>
  <c r="D101" i="73"/>
  <c r="I59" i="73"/>
  <c r="I85" i="73" s="1"/>
  <c r="I60" i="73"/>
  <c r="I61" i="73"/>
  <c r="I58" i="73"/>
  <c r="E144" i="73"/>
  <c r="G11" i="71"/>
  <c r="H6" i="71"/>
  <c r="G49" i="71"/>
  <c r="E9" i="71"/>
  <c r="E12" i="71" s="1"/>
  <c r="D32" i="71"/>
  <c r="D37" i="71" s="1"/>
  <c r="E91" i="71"/>
  <c r="E129" i="73"/>
  <c r="E139" i="73" s="1"/>
  <c r="H89" i="73"/>
  <c r="H94" i="73"/>
  <c r="D105" i="71"/>
  <c r="D142" i="73"/>
  <c r="D145" i="73" s="1"/>
  <c r="D152" i="73" s="1"/>
  <c r="C145" i="73"/>
  <c r="C152" i="73" s="1"/>
  <c r="L93" i="71"/>
  <c r="E90" i="71"/>
  <c r="E128" i="73"/>
  <c r="E138" i="73" s="1"/>
  <c r="C104" i="73" l="1"/>
  <c r="C111" i="73" s="1"/>
  <c r="B20" i="73"/>
  <c r="C150" i="73"/>
  <c r="C24" i="73" s="1"/>
  <c r="D103" i="73"/>
  <c r="D110" i="73" s="1"/>
  <c r="D3" i="73" s="1"/>
  <c r="D33" i="73" s="1"/>
  <c r="K168" i="73"/>
  <c r="K25" i="73" s="1"/>
  <c r="M25" i="73" s="1"/>
  <c r="K169" i="73"/>
  <c r="M166" i="73"/>
  <c r="D130" i="73"/>
  <c r="D149" i="73" s="1"/>
  <c r="D137" i="73"/>
  <c r="D140" i="73" s="1"/>
  <c r="D146" i="73"/>
  <c r="D153" i="73" s="1"/>
  <c r="D4" i="73"/>
  <c r="D34" i="73" s="1"/>
  <c r="C140" i="73"/>
  <c r="C4" i="73"/>
  <c r="C34" i="73" s="1"/>
  <c r="D132" i="73"/>
  <c r="D135" i="73" s="1"/>
  <c r="F85" i="71"/>
  <c r="F122" i="73" s="1"/>
  <c r="G87" i="71"/>
  <c r="G124" i="73" s="1"/>
  <c r="G134" i="73" s="1"/>
  <c r="C84" i="73"/>
  <c r="C86" i="73"/>
  <c r="D66" i="73"/>
  <c r="L53" i="71"/>
  <c r="K99" i="73"/>
  <c r="M99" i="73" s="1"/>
  <c r="D35" i="71"/>
  <c r="Q4" i="70"/>
  <c r="L14" i="71" s="1"/>
  <c r="K14" i="71"/>
  <c r="E7" i="71"/>
  <c r="E32" i="71" s="1"/>
  <c r="F102" i="71"/>
  <c r="G103" i="71"/>
  <c r="G104" i="71"/>
  <c r="G144" i="73" s="1"/>
  <c r="E21" i="71"/>
  <c r="E20" i="71"/>
  <c r="E57" i="71" s="1"/>
  <c r="J59" i="73"/>
  <c r="J85" i="73" s="1"/>
  <c r="J60" i="73"/>
  <c r="J61" i="73"/>
  <c r="J58" i="73"/>
  <c r="E89" i="71"/>
  <c r="E127" i="73"/>
  <c r="E105" i="71"/>
  <c r="E142" i="73"/>
  <c r="I89" i="73"/>
  <c r="I94" i="73"/>
  <c r="D24" i="71"/>
  <c r="D25" i="71" s="1"/>
  <c r="D34" i="71"/>
  <c r="D64" i="73" s="1"/>
  <c r="H65" i="71"/>
  <c r="H69" i="71"/>
  <c r="G73" i="71"/>
  <c r="G81" i="71" s="1"/>
  <c r="H11" i="71"/>
  <c r="I6" i="71"/>
  <c r="H49" i="71"/>
  <c r="F90" i="71"/>
  <c r="F128" i="73"/>
  <c r="F138" i="73" s="1"/>
  <c r="F129" i="73"/>
  <c r="F139" i="73" s="1"/>
  <c r="F91" i="71"/>
  <c r="I66" i="71"/>
  <c r="I70" i="71"/>
  <c r="H74" i="71"/>
  <c r="H82" i="71" s="1"/>
  <c r="H86" i="71" s="1"/>
  <c r="H123" i="73" s="1"/>
  <c r="H133" i="73" s="1"/>
  <c r="I67" i="71"/>
  <c r="I71" i="71"/>
  <c r="H75" i="71"/>
  <c r="H83" i="71" s="1"/>
  <c r="D63" i="73"/>
  <c r="E8" i="71"/>
  <c r="C146" i="73"/>
  <c r="C153" i="73" s="1"/>
  <c r="D104" i="73" l="1"/>
  <c r="D111" i="73" s="1"/>
  <c r="D150" i="73"/>
  <c r="D24" i="73" s="1"/>
  <c r="D151" i="73"/>
  <c r="D14" i="73" s="1"/>
  <c r="C151" i="73"/>
  <c r="H87" i="71"/>
  <c r="H124" i="73" s="1"/>
  <c r="H134" i="73" s="1"/>
  <c r="C90" i="73"/>
  <c r="C107" i="73"/>
  <c r="C106" i="73"/>
  <c r="G85" i="71"/>
  <c r="G122" i="73" s="1"/>
  <c r="M168" i="73"/>
  <c r="M169" i="73"/>
  <c r="K15" i="73"/>
  <c r="M15" i="73" s="1"/>
  <c r="E130" i="73"/>
  <c r="E149" i="73" s="1"/>
  <c r="E137" i="73"/>
  <c r="E140" i="73" s="1"/>
  <c r="C95" i="73"/>
  <c r="C88" i="73"/>
  <c r="C93" i="73"/>
  <c r="F9" i="71"/>
  <c r="E22" i="71"/>
  <c r="E63" i="73" s="1"/>
  <c r="D71" i="73"/>
  <c r="H104" i="71"/>
  <c r="H103" i="71"/>
  <c r="H143" i="73" s="1"/>
  <c r="F89" i="71"/>
  <c r="F127" i="73"/>
  <c r="D68" i="73"/>
  <c r="D70" i="73"/>
  <c r="J66" i="71"/>
  <c r="J70" i="71"/>
  <c r="I74" i="71"/>
  <c r="I82" i="71" s="1"/>
  <c r="I86" i="71" s="1"/>
  <c r="I123" i="73" s="1"/>
  <c r="I133" i="73" s="1"/>
  <c r="E58" i="71"/>
  <c r="E102" i="73" s="1"/>
  <c r="E23" i="71"/>
  <c r="E145" i="73"/>
  <c r="F105" i="71"/>
  <c r="F142" i="73"/>
  <c r="F145" i="73" s="1"/>
  <c r="F152" i="73" s="1"/>
  <c r="G90" i="71"/>
  <c r="G128" i="73"/>
  <c r="G138" i="73" s="1"/>
  <c r="J89" i="73"/>
  <c r="J94" i="73"/>
  <c r="E125" i="73"/>
  <c r="E148" i="73" s="1"/>
  <c r="E132" i="73"/>
  <c r="E135" i="73" s="1"/>
  <c r="K58" i="73"/>
  <c r="K59" i="73"/>
  <c r="K85" i="73" s="1"/>
  <c r="M85" i="73" s="1"/>
  <c r="K60" i="73"/>
  <c r="K61" i="73"/>
  <c r="J67" i="71"/>
  <c r="J71" i="71"/>
  <c r="I75" i="71"/>
  <c r="I83" i="71" s="1"/>
  <c r="I87" i="71" s="1"/>
  <c r="I124" i="73" s="1"/>
  <c r="I134" i="73" s="1"/>
  <c r="I65" i="71"/>
  <c r="I69" i="71"/>
  <c r="H73" i="71"/>
  <c r="H81" i="71" s="1"/>
  <c r="G102" i="71"/>
  <c r="E33" i="71"/>
  <c r="E37" i="71" s="1"/>
  <c r="F10" i="71"/>
  <c r="G91" i="71"/>
  <c r="G129" i="73"/>
  <c r="G139" i="73" s="1"/>
  <c r="I11" i="71"/>
  <c r="J6" i="71"/>
  <c r="I49" i="71"/>
  <c r="D69" i="73"/>
  <c r="E101" i="73"/>
  <c r="G143" i="73"/>
  <c r="E151" i="73" l="1"/>
  <c r="E14" i="73" s="1"/>
  <c r="C14" i="73"/>
  <c r="E150" i="73"/>
  <c r="E24" i="73" s="1"/>
  <c r="E152" i="73"/>
  <c r="E4" i="73" s="1"/>
  <c r="E34" i="73" s="1"/>
  <c r="E103" i="73"/>
  <c r="E110" i="73" s="1"/>
  <c r="E3" i="73" s="1"/>
  <c r="E33" i="73" s="1"/>
  <c r="H85" i="71"/>
  <c r="H122" i="73" s="1"/>
  <c r="F130" i="73"/>
  <c r="F149" i="73" s="1"/>
  <c r="F137" i="73"/>
  <c r="F140" i="73" s="1"/>
  <c r="F146" i="73"/>
  <c r="F153" i="73" s="1"/>
  <c r="F4" i="73"/>
  <c r="F34" i="73" s="1"/>
  <c r="C91" i="73"/>
  <c r="C96" i="73"/>
  <c r="D86" i="73"/>
  <c r="F12" i="71"/>
  <c r="F20" i="71" s="1"/>
  <c r="E34" i="71"/>
  <c r="E64" i="73" s="1"/>
  <c r="I103" i="71"/>
  <c r="I104" i="71"/>
  <c r="I144" i="73" s="1"/>
  <c r="H102" i="71"/>
  <c r="J11" i="71"/>
  <c r="J49" i="71"/>
  <c r="K6" i="71"/>
  <c r="D84" i="73"/>
  <c r="E59" i="71"/>
  <c r="F125" i="73"/>
  <c r="F148" i="73" s="1"/>
  <c r="F132" i="73"/>
  <c r="F135" i="73" s="1"/>
  <c r="K89" i="73"/>
  <c r="M89" i="73" s="1"/>
  <c r="K94" i="73"/>
  <c r="M94" i="73" s="1"/>
  <c r="H144" i="73"/>
  <c r="E35" i="71"/>
  <c r="E66" i="73"/>
  <c r="K67" i="71"/>
  <c r="J75" i="71"/>
  <c r="J83" i="71" s="1"/>
  <c r="J87" i="71" s="1"/>
  <c r="J124" i="73" s="1"/>
  <c r="J134" i="73" s="1"/>
  <c r="K71" i="71"/>
  <c r="J69" i="71"/>
  <c r="I73" i="71"/>
  <c r="I81" i="71" s="1"/>
  <c r="J65" i="71"/>
  <c r="E24" i="71"/>
  <c r="E25" i="71" s="1"/>
  <c r="E146" i="73"/>
  <c r="E153" i="73" s="1"/>
  <c r="H91" i="71"/>
  <c r="H129" i="73"/>
  <c r="H139" i="73" s="1"/>
  <c r="G105" i="71"/>
  <c r="G142" i="73"/>
  <c r="G145" i="73" s="1"/>
  <c r="G152" i="73" s="1"/>
  <c r="H90" i="71"/>
  <c r="H128" i="73"/>
  <c r="H138" i="73" s="1"/>
  <c r="G89" i="71"/>
  <c r="G127" i="73"/>
  <c r="K66" i="71"/>
  <c r="K70" i="71"/>
  <c r="J74" i="71"/>
  <c r="J82" i="71" s="1"/>
  <c r="J86" i="71" s="1"/>
  <c r="J123" i="73" s="1"/>
  <c r="J133" i="73" s="1"/>
  <c r="E65" i="73"/>
  <c r="F151" i="73" l="1"/>
  <c r="F150" i="73"/>
  <c r="F24" i="73" s="1"/>
  <c r="D106" i="73"/>
  <c r="D90" i="73"/>
  <c r="D107" i="73"/>
  <c r="C109" i="73"/>
  <c r="C13" i="73" s="1"/>
  <c r="C108" i="73"/>
  <c r="I85" i="71"/>
  <c r="I122" i="73" s="1"/>
  <c r="G130" i="73"/>
  <c r="G149" i="73" s="1"/>
  <c r="G137" i="73"/>
  <c r="G140" i="73" s="1"/>
  <c r="G146" i="73"/>
  <c r="G153" i="73" s="1"/>
  <c r="G4" i="73"/>
  <c r="G34" i="73" s="1"/>
  <c r="D95" i="73"/>
  <c r="F8" i="71"/>
  <c r="F33" i="71" s="1"/>
  <c r="F7" i="71"/>
  <c r="G9" i="71" s="1"/>
  <c r="F21" i="71"/>
  <c r="F58" i="71" s="1"/>
  <c r="F102" i="73" s="1"/>
  <c r="E70" i="73"/>
  <c r="I102" i="71"/>
  <c r="J103" i="71"/>
  <c r="J143" i="73" s="1"/>
  <c r="J104" i="71"/>
  <c r="J144" i="73" s="1"/>
  <c r="I91" i="71"/>
  <c r="I129" i="73"/>
  <c r="I139" i="73" s="1"/>
  <c r="K69" i="71"/>
  <c r="J73" i="71"/>
  <c r="J81" i="71" s="1"/>
  <c r="J85" i="71" s="1"/>
  <c r="J122" i="73" s="1"/>
  <c r="K65" i="71"/>
  <c r="K49" i="71"/>
  <c r="K11" i="71"/>
  <c r="L6" i="71"/>
  <c r="D88" i="73"/>
  <c r="D93" i="73"/>
  <c r="L71" i="71"/>
  <c r="K75" i="71"/>
  <c r="K83" i="71" s="1"/>
  <c r="K87" i="71" s="1"/>
  <c r="K124" i="73" s="1"/>
  <c r="K134" i="73" s="1"/>
  <c r="L67" i="71"/>
  <c r="H105" i="71"/>
  <c r="H142" i="73"/>
  <c r="G125" i="73"/>
  <c r="G148" i="73" s="1"/>
  <c r="G132" i="73"/>
  <c r="G135" i="73" s="1"/>
  <c r="E71" i="73"/>
  <c r="F57" i="71"/>
  <c r="F22" i="71"/>
  <c r="F63" i="73" s="1"/>
  <c r="L66" i="71"/>
  <c r="L70" i="71"/>
  <c r="K74" i="71"/>
  <c r="K82" i="71" s="1"/>
  <c r="K86" i="71" s="1"/>
  <c r="K123" i="73" s="1"/>
  <c r="K133" i="73" s="1"/>
  <c r="H89" i="71"/>
  <c r="H127" i="73"/>
  <c r="I143" i="73"/>
  <c r="I128" i="73"/>
  <c r="I138" i="73" s="1"/>
  <c r="I90" i="71"/>
  <c r="E68" i="73"/>
  <c r="E69" i="73"/>
  <c r="E104" i="73"/>
  <c r="E111" i="73" s="1"/>
  <c r="C23" i="73" l="1"/>
  <c r="C30" i="73" s="1"/>
  <c r="G150" i="73"/>
  <c r="G24" i="73" s="1"/>
  <c r="G151" i="73"/>
  <c r="G14" i="73" s="1"/>
  <c r="F14" i="73"/>
  <c r="C20" i="73"/>
  <c r="H130" i="73"/>
  <c r="H149" i="73" s="1"/>
  <c r="H137" i="73"/>
  <c r="H140" i="73" s="1"/>
  <c r="D96" i="73"/>
  <c r="F32" i="71"/>
  <c r="F37" i="71" s="1"/>
  <c r="F23" i="71"/>
  <c r="F24" i="71" s="1"/>
  <c r="F25" i="71" s="1"/>
  <c r="D91" i="73"/>
  <c r="G10" i="71"/>
  <c r="G12" i="71" s="1"/>
  <c r="E84" i="73"/>
  <c r="E86" i="73"/>
  <c r="J102" i="71"/>
  <c r="K103" i="71"/>
  <c r="K143" i="73" s="1"/>
  <c r="I89" i="71"/>
  <c r="I127" i="73"/>
  <c r="L75" i="71"/>
  <c r="L83" i="71" s="1"/>
  <c r="L49" i="71"/>
  <c r="L11" i="71"/>
  <c r="L74" i="71"/>
  <c r="L82" i="71" s="1"/>
  <c r="J90" i="71"/>
  <c r="J128" i="73"/>
  <c r="J138" i="73" s="1"/>
  <c r="F34" i="71"/>
  <c r="F64" i="73" s="1"/>
  <c r="J91" i="71"/>
  <c r="J129" i="73"/>
  <c r="J139" i="73" s="1"/>
  <c r="H132" i="73"/>
  <c r="H135" i="73" s="1"/>
  <c r="H125" i="73"/>
  <c r="H148" i="73" s="1"/>
  <c r="F59" i="71"/>
  <c r="F101" i="73"/>
  <c r="H145" i="73"/>
  <c r="I105" i="71"/>
  <c r="I142" i="73"/>
  <c r="I145" i="73" s="1"/>
  <c r="I152" i="73" s="1"/>
  <c r="K104" i="71"/>
  <c r="K144" i="73" s="1"/>
  <c r="L65" i="71"/>
  <c r="L69" i="71"/>
  <c r="K73" i="71"/>
  <c r="K81" i="71" s="1"/>
  <c r="K85" i="71" s="1"/>
  <c r="K122" i="73" s="1"/>
  <c r="H150" i="73" l="1"/>
  <c r="H24" i="73" s="1"/>
  <c r="H152" i="73"/>
  <c r="H4" i="73" s="1"/>
  <c r="H34" i="73" s="1"/>
  <c r="H151" i="73"/>
  <c r="E90" i="73"/>
  <c r="E107" i="73"/>
  <c r="E106" i="73"/>
  <c r="D109" i="73"/>
  <c r="D13" i="73" s="1"/>
  <c r="D20" i="73" s="1"/>
  <c r="F103" i="73"/>
  <c r="F110" i="73" s="1"/>
  <c r="F3" i="73" s="1"/>
  <c r="F33" i="73" s="1"/>
  <c r="D108" i="73"/>
  <c r="I130" i="73"/>
  <c r="I149" i="73" s="1"/>
  <c r="I137" i="73"/>
  <c r="I140" i="73" s="1"/>
  <c r="I146" i="73"/>
  <c r="I153" i="73" s="1"/>
  <c r="I4" i="73"/>
  <c r="I34" i="73" s="1"/>
  <c r="E95" i="73"/>
  <c r="E88" i="73"/>
  <c r="F65" i="73"/>
  <c r="L87" i="71"/>
  <c r="L124" i="73" s="1"/>
  <c r="L134" i="73" s="1"/>
  <c r="L86" i="71"/>
  <c r="L123" i="73" s="1"/>
  <c r="L133" i="73" s="1"/>
  <c r="F35" i="71"/>
  <c r="F66" i="73"/>
  <c r="E93" i="73"/>
  <c r="K102" i="71"/>
  <c r="C38" i="70"/>
  <c r="L103" i="71"/>
  <c r="K90" i="71"/>
  <c r="K128" i="73"/>
  <c r="K138" i="73" s="1"/>
  <c r="H146" i="73"/>
  <c r="H153" i="73" s="1"/>
  <c r="J105" i="71"/>
  <c r="J142" i="73"/>
  <c r="J145" i="73" s="1"/>
  <c r="J152" i="73" s="1"/>
  <c r="K91" i="71"/>
  <c r="K129" i="73"/>
  <c r="K139" i="73" s="1"/>
  <c r="G20" i="71"/>
  <c r="G21" i="71"/>
  <c r="G8" i="71"/>
  <c r="G7" i="71"/>
  <c r="J89" i="71"/>
  <c r="J127" i="73"/>
  <c r="I125" i="73"/>
  <c r="I148" i="73" s="1"/>
  <c r="I132" i="73"/>
  <c r="I135" i="73" s="1"/>
  <c r="L73" i="71"/>
  <c r="L81" i="71" s="1"/>
  <c r="C39" i="70"/>
  <c r="L104" i="71"/>
  <c r="D23" i="73" l="1"/>
  <c r="D30" i="73" s="1"/>
  <c r="H14" i="73"/>
  <c r="I150" i="73"/>
  <c r="I24" i="73" s="1"/>
  <c r="I151" i="73"/>
  <c r="I14" i="73" s="1"/>
  <c r="F104" i="73"/>
  <c r="F111" i="73" s="1"/>
  <c r="J130" i="73"/>
  <c r="J149" i="73" s="1"/>
  <c r="J137" i="73"/>
  <c r="J140" i="73" s="1"/>
  <c r="J146" i="73"/>
  <c r="J153" i="73" s="1"/>
  <c r="J4" i="73"/>
  <c r="J34" i="73" s="1"/>
  <c r="E96" i="73"/>
  <c r="E91" i="73"/>
  <c r="F69" i="73"/>
  <c r="F71" i="73"/>
  <c r="F68" i="73"/>
  <c r="F70" i="73"/>
  <c r="I53" i="70"/>
  <c r="I52" i="70" s="1"/>
  <c r="I58" i="70" s="1"/>
  <c r="L85" i="71"/>
  <c r="L122" i="73" s="1"/>
  <c r="I51" i="70"/>
  <c r="I50" i="70" s="1"/>
  <c r="I57" i="70" s="1"/>
  <c r="L102" i="71"/>
  <c r="C37" i="70"/>
  <c r="C40" i="70" s="1"/>
  <c r="L144" i="73"/>
  <c r="M144" i="73" s="1"/>
  <c r="N104" i="71"/>
  <c r="L91" i="71"/>
  <c r="L129" i="73"/>
  <c r="L139" i="73" s="1"/>
  <c r="G32" i="71"/>
  <c r="H9" i="71"/>
  <c r="K89" i="71"/>
  <c r="K127" i="73"/>
  <c r="G33" i="71"/>
  <c r="H10" i="71"/>
  <c r="G58" i="71"/>
  <c r="G102" i="73" s="1"/>
  <c r="G23" i="71"/>
  <c r="G57" i="71"/>
  <c r="G22" i="71"/>
  <c r="G63" i="73" s="1"/>
  <c r="L90" i="71"/>
  <c r="L128" i="73"/>
  <c r="L138" i="73" s="1"/>
  <c r="K105" i="71"/>
  <c r="K142" i="73"/>
  <c r="K145" i="73" s="1"/>
  <c r="K152" i="73" s="1"/>
  <c r="L143" i="73"/>
  <c r="M143" i="73" s="1"/>
  <c r="N103" i="71"/>
  <c r="J125" i="73"/>
  <c r="J148" i="73" s="1"/>
  <c r="J132" i="73"/>
  <c r="J135" i="73" s="1"/>
  <c r="J150" i="73" l="1"/>
  <c r="J24" i="73" s="1"/>
  <c r="J151" i="73"/>
  <c r="J14" i="73" s="1"/>
  <c r="E109" i="73"/>
  <c r="E13" i="73" s="1"/>
  <c r="E108" i="73"/>
  <c r="G188" i="73"/>
  <c r="F188" i="73"/>
  <c r="H188" i="73"/>
  <c r="I188" i="73"/>
  <c r="J188" i="73"/>
  <c r="C188" i="73"/>
  <c r="K188" i="73"/>
  <c r="D188" i="73"/>
  <c r="L188" i="73"/>
  <c r="E188" i="73"/>
  <c r="B188" i="73"/>
  <c r="K130" i="73"/>
  <c r="K149" i="73" s="1"/>
  <c r="K137" i="73"/>
  <c r="K140" i="73" s="1"/>
  <c r="K146" i="73"/>
  <c r="K153" i="73" s="1"/>
  <c r="K4" i="73"/>
  <c r="K34" i="73" s="1"/>
  <c r="F86" i="73"/>
  <c r="F84" i="73"/>
  <c r="I49" i="70"/>
  <c r="I48" i="70" s="1"/>
  <c r="I61" i="70"/>
  <c r="I60" i="70"/>
  <c r="G37" i="71"/>
  <c r="G59" i="71"/>
  <c r="G101" i="73"/>
  <c r="M139" i="73"/>
  <c r="L89" i="71"/>
  <c r="L127" i="73"/>
  <c r="K125" i="73"/>
  <c r="K148" i="73" s="1"/>
  <c r="K132" i="73"/>
  <c r="K135" i="73" s="1"/>
  <c r="G35" i="71"/>
  <c r="G66" i="73"/>
  <c r="M138" i="73"/>
  <c r="G65" i="73"/>
  <c r="H12" i="71"/>
  <c r="L105" i="71"/>
  <c r="N105" i="71" s="1"/>
  <c r="L142" i="73"/>
  <c r="N102" i="71"/>
  <c r="G24" i="71"/>
  <c r="G25" i="71" s="1"/>
  <c r="G34" i="71"/>
  <c r="G64" i="73" s="1"/>
  <c r="E23" i="73" l="1"/>
  <c r="E30" i="73" s="1"/>
  <c r="K151" i="73"/>
  <c r="K14" i="73" s="1"/>
  <c r="K150" i="73"/>
  <c r="K24" i="73" s="1"/>
  <c r="F106" i="73"/>
  <c r="F90" i="73"/>
  <c r="F107" i="73"/>
  <c r="G103" i="73"/>
  <c r="G110" i="73" s="1"/>
  <c r="G3" i="73" s="1"/>
  <c r="G33" i="73" s="1"/>
  <c r="C189" i="73"/>
  <c r="C8" i="73"/>
  <c r="C195" i="73"/>
  <c r="K189" i="73"/>
  <c r="K196" i="73" s="1"/>
  <c r="K8" i="73"/>
  <c r="K38" i="73" s="1"/>
  <c r="K195" i="73"/>
  <c r="I189" i="73"/>
  <c r="I196" i="73" s="1"/>
  <c r="I8" i="73"/>
  <c r="I38" i="73" s="1"/>
  <c r="I195" i="73"/>
  <c r="B8" i="73"/>
  <c r="B38" i="73" s="1"/>
  <c r="B40" i="73" s="1"/>
  <c r="M188" i="73"/>
  <c r="H189" i="73"/>
  <c r="H196" i="73" s="1"/>
  <c r="H195" i="73"/>
  <c r="H8" i="73"/>
  <c r="H38" i="73" s="1"/>
  <c r="D189" i="73"/>
  <c r="D196" i="73" s="1"/>
  <c r="D8" i="73"/>
  <c r="D195" i="73"/>
  <c r="E189" i="73"/>
  <c r="E196" i="73" s="1"/>
  <c r="E195" i="73"/>
  <c r="E8" i="73"/>
  <c r="F189" i="73"/>
  <c r="F196" i="73" s="1"/>
  <c r="F8" i="73"/>
  <c r="F195" i="73"/>
  <c r="J189" i="73"/>
  <c r="J196" i="73" s="1"/>
  <c r="J8" i="73"/>
  <c r="J38" i="73" s="1"/>
  <c r="J195" i="73"/>
  <c r="L189" i="73"/>
  <c r="L196" i="73" s="1"/>
  <c r="L195" i="73"/>
  <c r="L8" i="73"/>
  <c r="L38" i="73" s="1"/>
  <c r="G189" i="73"/>
  <c r="G196" i="73" s="1"/>
  <c r="G195" i="73"/>
  <c r="G8" i="73"/>
  <c r="E20" i="73"/>
  <c r="L130" i="73"/>
  <c r="L137" i="73"/>
  <c r="M137" i="73" s="1"/>
  <c r="F95" i="73"/>
  <c r="F93" i="73"/>
  <c r="F88" i="73"/>
  <c r="I68" i="70"/>
  <c r="I56" i="70"/>
  <c r="I54" i="70"/>
  <c r="I66" i="70"/>
  <c r="I67" i="70"/>
  <c r="G68" i="73"/>
  <c r="G70" i="73"/>
  <c r="L132" i="73"/>
  <c r="L135" i="73" s="1"/>
  <c r="L125" i="73"/>
  <c r="L148" i="73" s="1"/>
  <c r="G71" i="73"/>
  <c r="L145" i="73"/>
  <c r="L152" i="73" s="1"/>
  <c r="M142" i="73"/>
  <c r="H20" i="71"/>
  <c r="H21" i="71"/>
  <c r="H7" i="71"/>
  <c r="G69" i="73"/>
  <c r="H8" i="71"/>
  <c r="G104" i="73" l="1"/>
  <c r="G111" i="73" s="1"/>
  <c r="L150" i="73"/>
  <c r="L24" i="73" s="1"/>
  <c r="L149" i="73"/>
  <c r="M149" i="73" s="1"/>
  <c r="M148" i="73"/>
  <c r="F10" i="73"/>
  <c r="F38" i="73"/>
  <c r="F40" i="73" s="1"/>
  <c r="C10" i="73"/>
  <c r="C38" i="73"/>
  <c r="C40" i="73" s="1"/>
  <c r="E10" i="73"/>
  <c r="E38" i="73"/>
  <c r="E40" i="73" s="1"/>
  <c r="G10" i="73"/>
  <c r="G38" i="73"/>
  <c r="D10" i="73"/>
  <c r="D38" i="73"/>
  <c r="D40" i="73" s="1"/>
  <c r="M195" i="73"/>
  <c r="M8" i="73"/>
  <c r="B6" i="70" s="1"/>
  <c r="B10" i="73"/>
  <c r="C196" i="73"/>
  <c r="M196" i="73" s="1"/>
  <c r="M189" i="73"/>
  <c r="L4" i="73"/>
  <c r="I62" i="70"/>
  <c r="I63" i="70" s="1"/>
  <c r="F96" i="73"/>
  <c r="F91" i="73"/>
  <c r="G84" i="73"/>
  <c r="G86" i="73"/>
  <c r="L140" i="73"/>
  <c r="L151" i="73" s="1"/>
  <c r="M151" i="73" s="1"/>
  <c r="I65" i="70"/>
  <c r="H32" i="71"/>
  <c r="I9" i="71"/>
  <c r="H57" i="71"/>
  <c r="H22" i="71"/>
  <c r="H63" i="73" s="1"/>
  <c r="H58" i="71"/>
  <c r="H102" i="73" s="1"/>
  <c r="H23" i="71"/>
  <c r="I10" i="71"/>
  <c r="H33" i="71"/>
  <c r="L146" i="73"/>
  <c r="L153" i="73" s="1"/>
  <c r="M145" i="73"/>
  <c r="M152" i="73" s="1"/>
  <c r="G90" i="73" l="1"/>
  <c r="G107" i="73"/>
  <c r="G106" i="73"/>
  <c r="F109" i="73"/>
  <c r="F108" i="73"/>
  <c r="L14" i="73"/>
  <c r="M14" i="73" s="1"/>
  <c r="M38" i="73"/>
  <c r="G40" i="73"/>
  <c r="M4" i="73"/>
  <c r="B4" i="70" s="1"/>
  <c r="L34" i="73"/>
  <c r="M34" i="73" s="1"/>
  <c r="M24" i="73"/>
  <c r="M140" i="73"/>
  <c r="G95" i="73"/>
  <c r="G93" i="73"/>
  <c r="G88" i="73"/>
  <c r="H37" i="71"/>
  <c r="I12" i="71"/>
  <c r="M146" i="73"/>
  <c r="M153" i="73" s="1"/>
  <c r="H35" i="71"/>
  <c r="H66" i="73"/>
  <c r="H59" i="71"/>
  <c r="H101" i="73"/>
  <c r="H24" i="71"/>
  <c r="H25" i="71" s="1"/>
  <c r="H34" i="71"/>
  <c r="H64" i="73" s="1"/>
  <c r="H65" i="73"/>
  <c r="F23" i="73" l="1"/>
  <c r="F30" i="73" s="1"/>
  <c r="H103" i="73"/>
  <c r="H110" i="73" s="1"/>
  <c r="H3" i="73" s="1"/>
  <c r="F13" i="73"/>
  <c r="F20" i="73" s="1"/>
  <c r="G96" i="73"/>
  <c r="G91" i="73"/>
  <c r="G109" i="73" s="1"/>
  <c r="H70" i="73"/>
  <c r="I20" i="71"/>
  <c r="I21" i="71"/>
  <c r="I7" i="71"/>
  <c r="I8" i="71"/>
  <c r="H68" i="73"/>
  <c r="H71" i="73"/>
  <c r="H69" i="73"/>
  <c r="H104" i="73" l="1"/>
  <c r="H111" i="73" s="1"/>
  <c r="H10" i="73"/>
  <c r="H33" i="73"/>
  <c r="H40" i="73" s="1"/>
  <c r="G108" i="73"/>
  <c r="G13" i="73"/>
  <c r="G20" i="73" s="1"/>
  <c r="H84" i="73"/>
  <c r="H106" i="73" s="1"/>
  <c r="H86" i="73"/>
  <c r="I58" i="71"/>
  <c r="I102" i="73" s="1"/>
  <c r="I23" i="71"/>
  <c r="I65" i="73" s="1"/>
  <c r="I57" i="71"/>
  <c r="I22" i="71"/>
  <c r="I63" i="73" s="1"/>
  <c r="J10" i="71"/>
  <c r="I33" i="71"/>
  <c r="I32" i="71"/>
  <c r="J9" i="71"/>
  <c r="G23" i="73" l="1"/>
  <c r="G30" i="73" s="1"/>
  <c r="H90" i="73"/>
  <c r="H107" i="73"/>
  <c r="H95" i="73"/>
  <c r="H88" i="73"/>
  <c r="H93" i="73"/>
  <c r="I37" i="71"/>
  <c r="I24" i="71"/>
  <c r="I25" i="71" s="1"/>
  <c r="I34" i="71"/>
  <c r="I64" i="73" s="1"/>
  <c r="I35" i="71"/>
  <c r="I66" i="73"/>
  <c r="J12" i="71"/>
  <c r="J7" i="71" s="1"/>
  <c r="I59" i="71"/>
  <c r="I101" i="73"/>
  <c r="I103" i="73" l="1"/>
  <c r="I110" i="73" s="1"/>
  <c r="I3" i="73" s="1"/>
  <c r="H91" i="73"/>
  <c r="H109" i="73" s="1"/>
  <c r="I69" i="73"/>
  <c r="H96" i="73"/>
  <c r="H108" i="73" s="1"/>
  <c r="I71" i="73"/>
  <c r="J32" i="71"/>
  <c r="K9" i="71"/>
  <c r="I68" i="73"/>
  <c r="J20" i="71"/>
  <c r="J21" i="71"/>
  <c r="J8" i="71"/>
  <c r="I70" i="73"/>
  <c r="H23" i="73" l="1"/>
  <c r="H30" i="73" s="1"/>
  <c r="I104" i="73"/>
  <c r="I111" i="73" s="1"/>
  <c r="I10" i="73"/>
  <c r="I33" i="73"/>
  <c r="I40" i="73" s="1"/>
  <c r="H13" i="73"/>
  <c r="H20" i="73" s="1"/>
  <c r="I86" i="73"/>
  <c r="J57" i="71"/>
  <c r="J22" i="71"/>
  <c r="I84" i="73"/>
  <c r="I106" i="73" s="1"/>
  <c r="K10" i="71"/>
  <c r="K12" i="71" s="1"/>
  <c r="J33" i="71"/>
  <c r="J37" i="71" s="1"/>
  <c r="J58" i="71"/>
  <c r="J102" i="73" s="1"/>
  <c r="J23" i="71"/>
  <c r="I90" i="73" l="1"/>
  <c r="I107" i="73"/>
  <c r="I95" i="73"/>
  <c r="K21" i="71"/>
  <c r="K58" i="71" s="1"/>
  <c r="K102" i="73" s="1"/>
  <c r="K20" i="71"/>
  <c r="K57" i="71" s="1"/>
  <c r="K8" i="71"/>
  <c r="K7" i="71"/>
  <c r="J35" i="71"/>
  <c r="J66" i="73"/>
  <c r="J65" i="73"/>
  <c r="I88" i="73"/>
  <c r="I93" i="73"/>
  <c r="J34" i="71"/>
  <c r="J64" i="73" s="1"/>
  <c r="J24" i="71"/>
  <c r="J25" i="71" s="1"/>
  <c r="J63" i="73"/>
  <c r="J59" i="71"/>
  <c r="J101" i="73"/>
  <c r="J103" i="73" l="1"/>
  <c r="J110" i="73" s="1"/>
  <c r="J3" i="73" s="1"/>
  <c r="J10" i="73" s="1"/>
  <c r="I91" i="73"/>
  <c r="I109" i="73" s="1"/>
  <c r="I96" i="73"/>
  <c r="I108" i="73" s="1"/>
  <c r="J70" i="73"/>
  <c r="K22" i="71"/>
  <c r="K63" i="73" s="1"/>
  <c r="J71" i="73"/>
  <c r="J68" i="73"/>
  <c r="K23" i="71"/>
  <c r="J69" i="73"/>
  <c r="L9" i="71"/>
  <c r="K32" i="71"/>
  <c r="L10" i="71"/>
  <c r="K33" i="71"/>
  <c r="K59" i="71"/>
  <c r="K101" i="73"/>
  <c r="J104" i="73" l="1"/>
  <c r="J111" i="73" s="1"/>
  <c r="I23" i="73"/>
  <c r="I30" i="73" s="1"/>
  <c r="J33" i="73"/>
  <c r="J40" i="73" s="1"/>
  <c r="K103" i="73"/>
  <c r="K110" i="73" s="1"/>
  <c r="K3" i="73" s="1"/>
  <c r="K34" i="71"/>
  <c r="K64" i="73" s="1"/>
  <c r="K24" i="71"/>
  <c r="K25" i="71" s="1"/>
  <c r="K65" i="73"/>
  <c r="J84" i="73"/>
  <c r="J106" i="73" s="1"/>
  <c r="L12" i="71"/>
  <c r="L21" i="71" s="1"/>
  <c r="L58" i="71" s="1"/>
  <c r="L102" i="73" s="1"/>
  <c r="M102" i="73" s="1"/>
  <c r="K37" i="71"/>
  <c r="K38" i="71" s="1"/>
  <c r="J86" i="73"/>
  <c r="K35" i="71"/>
  <c r="K66" i="73"/>
  <c r="K104" i="73" l="1"/>
  <c r="K111" i="73" s="1"/>
  <c r="J90" i="73"/>
  <c r="J107" i="73"/>
  <c r="K10" i="73"/>
  <c r="K33" i="73"/>
  <c r="K40" i="73" s="1"/>
  <c r="I13" i="73"/>
  <c r="I20" i="73" s="1"/>
  <c r="J95" i="73"/>
  <c r="J88" i="73"/>
  <c r="L20" i="71"/>
  <c r="L57" i="71" s="1"/>
  <c r="K68" i="73"/>
  <c r="J93" i="73"/>
  <c r="K71" i="73"/>
  <c r="L23" i="71"/>
  <c r="L66" i="73" s="1"/>
  <c r="K70" i="73"/>
  <c r="L8" i="71"/>
  <c r="L7" i="71"/>
  <c r="K69" i="73"/>
  <c r="J91" i="73" l="1"/>
  <c r="J109" i="73" s="1"/>
  <c r="L22" i="71"/>
  <c r="L24" i="71" s="1"/>
  <c r="L25" i="71" s="1"/>
  <c r="K86" i="73"/>
  <c r="L65" i="73"/>
  <c r="K84" i="73"/>
  <c r="K106" i="73" s="1"/>
  <c r="J96" i="73"/>
  <c r="J108" i="73" s="1"/>
  <c r="I30" i="70"/>
  <c r="L59" i="71"/>
  <c r="L101" i="73"/>
  <c r="M101" i="73" s="1"/>
  <c r="M103" i="73" s="1"/>
  <c r="J23" i="73" l="1"/>
  <c r="J30" i="73" s="1"/>
  <c r="K90" i="73"/>
  <c r="K107" i="73"/>
  <c r="L103" i="73"/>
  <c r="L110" i="73" s="1"/>
  <c r="J13" i="73"/>
  <c r="J20" i="73" s="1"/>
  <c r="K95" i="73"/>
  <c r="L63" i="73"/>
  <c r="L64" i="73"/>
  <c r="K93" i="73"/>
  <c r="I29" i="70"/>
  <c r="K88" i="73"/>
  <c r="L104" i="73" l="1"/>
  <c r="L111" i="73" s="1"/>
  <c r="L3" i="73"/>
  <c r="L33" i="73" s="1"/>
  <c r="L40" i="73" s="1"/>
  <c r="M40" i="73" s="1"/>
  <c r="B13" i="70" s="1"/>
  <c r="M110" i="73"/>
  <c r="M3" i="73"/>
  <c r="B3" i="70" s="1"/>
  <c r="B9" i="70" s="1"/>
  <c r="K91" i="73"/>
  <c r="K109" i="73" s="1"/>
  <c r="L69" i="73"/>
  <c r="L68" i="73"/>
  <c r="I27" i="70"/>
  <c r="L70" i="73"/>
  <c r="L71" i="73"/>
  <c r="I28" i="70"/>
  <c r="K96" i="73"/>
  <c r="K108" i="73" s="1"/>
  <c r="M33" i="73" l="1"/>
  <c r="M104" i="73"/>
  <c r="M111" i="73" s="1"/>
  <c r="L10" i="73"/>
  <c r="M10" i="73" s="1"/>
  <c r="K23" i="73"/>
  <c r="K30" i="73" s="1"/>
  <c r="I34" i="70"/>
  <c r="I31" i="70"/>
  <c r="L84" i="73"/>
  <c r="I33" i="70"/>
  <c r="I35" i="70"/>
  <c r="I36" i="70"/>
  <c r="L86" i="73"/>
  <c r="L106" i="73" l="1"/>
  <c r="M84" i="73"/>
  <c r="M106" i="73" s="1"/>
  <c r="L90" i="73"/>
  <c r="M90" i="73" s="1"/>
  <c r="L107" i="73"/>
  <c r="M86" i="73"/>
  <c r="M107" i="73" s="1"/>
  <c r="K13" i="73"/>
  <c r="K20" i="73" s="1"/>
  <c r="L95" i="73"/>
  <c r="M95" i="73" s="1"/>
  <c r="L93" i="73"/>
  <c r="M93" i="73" s="1"/>
  <c r="I40" i="70"/>
  <c r="L88" i="73"/>
  <c r="M88" i="73" s="1"/>
  <c r="I38" i="70"/>
  <c r="I44" i="70" l="1"/>
  <c r="L91" i="73"/>
  <c r="M91" i="73" s="1"/>
  <c r="I42" i="70"/>
  <c r="L96" i="73"/>
  <c r="I45" i="70" l="1"/>
  <c r="L108" i="73"/>
  <c r="L23" i="73" s="1"/>
  <c r="L30" i="73" s="1"/>
  <c r="M96" i="73"/>
  <c r="M108" i="73" s="1"/>
  <c r="L109" i="73"/>
  <c r="M109" i="73" s="1"/>
  <c r="M23" i="73" l="1"/>
  <c r="L13" i="73"/>
  <c r="M13" i="73" s="1"/>
  <c r="B10" i="70"/>
  <c r="M30" i="73"/>
  <c r="L20" i="73" l="1"/>
  <c r="B11" i="70" s="1"/>
  <c r="M20" i="73" l="1"/>
  <c r="B12"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F5" authorId="0" shapeId="0" xr:uid="{AD54291A-334B-490E-9B3A-798B29D26012}">
      <text>
        <r>
          <rPr>
            <b/>
            <sz val="9"/>
            <color indexed="81"/>
            <rFont val="Tahoma"/>
            <family val="2"/>
          </rPr>
          <t>NOTE:</t>
        </r>
        <r>
          <rPr>
            <sz val="9"/>
            <color indexed="81"/>
            <rFont val="Tahoma"/>
            <family val="2"/>
          </rPr>
          <t xml:space="preserve">
The total of the EV and PHEV shares in any given year cannot exceed 100%.</t>
        </r>
      </text>
    </comment>
    <comment ref="F7" authorId="0" shapeId="0" xr:uid="{EB97A85E-6413-4C34-BD3A-3D02D9062C80}">
      <text>
        <r>
          <rPr>
            <b/>
            <sz val="9"/>
            <color indexed="81"/>
            <rFont val="Tahoma"/>
            <family val="2"/>
          </rPr>
          <t>NOTE:</t>
        </r>
        <r>
          <rPr>
            <sz val="9"/>
            <color indexed="81"/>
            <rFont val="Tahoma"/>
            <family val="2"/>
          </rPr>
          <t xml:space="preserve">
The sum of the EV and PHEV shares in any given year cannot exceed 100%.</t>
        </r>
      </text>
    </comment>
    <comment ref="F14" authorId="0" shapeId="0" xr:uid="{3DC7AE01-5876-41CD-BA6A-E6AF718CA325}">
      <text>
        <r>
          <rPr>
            <b/>
            <sz val="9"/>
            <color indexed="81"/>
            <rFont val="Tahoma"/>
            <family val="2"/>
          </rPr>
          <t>NOTE:</t>
        </r>
        <r>
          <rPr>
            <sz val="9"/>
            <color indexed="81"/>
            <rFont val="Tahoma"/>
            <family val="2"/>
          </rPr>
          <t xml:space="preserve">
The shares in this row should add to 100%, as per Cell R14.</t>
        </r>
      </text>
    </comment>
    <comment ref="C21" authorId="0" shapeId="0" xr:uid="{A7208440-1767-43C5-AC67-220DA7292F48}">
      <text>
        <r>
          <rPr>
            <b/>
            <sz val="9"/>
            <color indexed="81"/>
            <rFont val="Tahoma"/>
            <family val="2"/>
          </rPr>
          <t>NOTE:</t>
        </r>
        <r>
          <rPr>
            <sz val="9"/>
            <color indexed="81"/>
            <rFont val="Tahoma"/>
            <family val="2"/>
          </rPr>
          <t xml:space="preserve">
The emission impact of active transportation is estimated by assuming it displaces personal vehicle use.  Varying the active transportation mode share increase that results from the investment in active transportation infrastructure reduces the personal vehicle mode share by a corresponding amount.</t>
        </r>
      </text>
    </comment>
    <comment ref="A42" authorId="0" shapeId="0" xr:uid="{00000000-0006-0000-0000-000001000000}">
      <text>
        <r>
          <rPr>
            <b/>
            <sz val="9"/>
            <color indexed="81"/>
            <rFont val="Tahoma"/>
            <family val="2"/>
          </rPr>
          <t>NOTE:</t>
        </r>
        <r>
          <rPr>
            <sz val="9"/>
            <color indexed="81"/>
            <rFont val="Tahoma"/>
            <family val="2"/>
          </rPr>
          <t xml:space="preserve">
Electric transit buses have a premium of about $500k per bus and they also require the installation of charging infrastructure.  The net present value of the savings in fuel and maintenance over the life of the bus are approximately equal to the capital cost premium.  (See for example "Electric Bus Feasibility Study", prepared by Marcon for the City of Edmonton, June 2016.</t>
        </r>
      </text>
    </comment>
    <comment ref="A49" authorId="0" shapeId="0" xr:uid="{F217B237-1244-4470-AED8-C7E170C8459A}">
      <text>
        <r>
          <rPr>
            <b/>
            <sz val="9"/>
            <color indexed="81"/>
            <rFont val="Tahoma"/>
            <family val="2"/>
          </rPr>
          <t>NOTE:</t>
        </r>
        <r>
          <rPr>
            <sz val="9"/>
            <color indexed="81"/>
            <rFont val="Tahoma"/>
            <family val="2"/>
          </rPr>
          <t xml:space="preserve">
Electric transit buses have a premium of about $500k per bus and they also require the installation of charging infrastructure.  The net present value of the savings in fuel and maintenance over the life of the bus are approximately equal to the capital cost premium.  (See for example "Electric Bus Feasibility Study", prepared by Marcon for the City of Edmonton, June 2016.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A19" authorId="0" shapeId="0" xr:uid="{478F3103-1C74-46F3-9E64-BCB961B2B905}">
      <text>
        <r>
          <rPr>
            <b/>
            <sz val="9"/>
            <color indexed="81"/>
            <rFont val="Tahoma"/>
            <family val="2"/>
          </rPr>
          <t>NOTE:</t>
        </r>
        <r>
          <rPr>
            <sz val="9"/>
            <color indexed="81"/>
            <rFont val="Tahoma"/>
            <family val="2"/>
          </rPr>
          <t xml:space="preserve">
The emission reduction impact of active transportation is included as a reduction in personal vehicle emisssions.  Active transportation reduces personal vehicle mode share by the amount entered in Cell C21 on the The Low Emission Scenario tab.  A 1.5% increase in Active Transportation mode share results in an annual emission reduction of approximately 0.9 Mt CO2e.</t>
        </r>
      </text>
    </comment>
  </commentList>
</comments>
</file>

<file path=xl/sharedStrings.xml><?xml version="1.0" encoding="utf-8"?>
<sst xmlns="http://schemas.openxmlformats.org/spreadsheetml/2006/main" count="1475" uniqueCount="444">
  <si>
    <t>Transportation Sector</t>
  </si>
  <si>
    <t>Table 49: Bus Explanatory Variables</t>
  </si>
  <si>
    <t>School Buses</t>
  </si>
  <si>
    <t>Inter-City Buses</t>
  </si>
  <si>
    <t xml:space="preserve">Table 32: Car Explanatory Variables </t>
  </si>
  <si>
    <t>Cars On-Road Average Fuel Consumption (L/100 km)</t>
  </si>
  <si>
    <t>Cars</t>
  </si>
  <si>
    <t>Natural Gas</t>
  </si>
  <si>
    <t>Medium Trucks</t>
  </si>
  <si>
    <t>Heavy Trucks</t>
  </si>
  <si>
    <t>Urban Transit</t>
  </si>
  <si>
    <t>Stock (thousands)</t>
  </si>
  <si>
    <t>Passenger Light Trucks</t>
  </si>
  <si>
    <t>Freight Light Trucks</t>
  </si>
  <si>
    <t>Shares (%)</t>
  </si>
  <si>
    <t>Sales (thousands)</t>
  </si>
  <si>
    <t>Medium Truck On-Road Average Fuel Consumption (L/100 km)</t>
  </si>
  <si>
    <t>Heavy Truck On-Road Average Fuel Consumption (L/100 km)</t>
  </si>
  <si>
    <t>Passenger Light Truck On-Road Average Fuel Consumption (L/100 km)</t>
  </si>
  <si>
    <t>Freight Light Truck On-Road Average Fuel Consumption (L/100 km)</t>
  </si>
  <si>
    <t>Average Distance Travelled per Year (km)</t>
  </si>
  <si>
    <t>Canada</t>
  </si>
  <si>
    <t>Propane</t>
  </si>
  <si>
    <t>1) Includes Ethanol</t>
  </si>
  <si>
    <t>2) Includes Biodiesel</t>
  </si>
  <si>
    <r>
      <t>Motor Gasoline</t>
    </r>
    <r>
      <rPr>
        <sz val="10"/>
        <rFont val="Arial"/>
        <family val="2"/>
      </rPr>
      <t>¹</t>
    </r>
  </si>
  <si>
    <r>
      <t>Diesel Fuel Oil</t>
    </r>
    <r>
      <rPr>
        <sz val="10"/>
        <rFont val="Arial"/>
        <family val="2"/>
      </rPr>
      <t>²</t>
    </r>
  </si>
  <si>
    <t>Motor Gasoline¹</t>
  </si>
  <si>
    <t>Diesel Fuel Oil²</t>
  </si>
  <si>
    <t>Table 60: Truck Explanatory Variables</t>
  </si>
  <si>
    <t>Historical Database – November 2019</t>
  </si>
  <si>
    <t>Growth</t>
  </si>
  <si>
    <t>Sales</t>
  </si>
  <si>
    <t>Implied retirements</t>
  </si>
  <si>
    <t>Check</t>
  </si>
  <si>
    <t>Stock plus sales less retirements</t>
  </si>
  <si>
    <t>Retirement as pct of stock</t>
  </si>
  <si>
    <t>EV shares</t>
  </si>
  <si>
    <t>Stock growth rates</t>
  </si>
  <si>
    <t>Retirements as pct of stock</t>
  </si>
  <si>
    <t>Sales Growth Rates</t>
  </si>
  <si>
    <t>Electric as Pct of New Sales</t>
  </si>
  <si>
    <t>Population</t>
  </si>
  <si>
    <t>Greenhouse gas emissions</t>
  </si>
  <si>
    <t>Personal vehicle</t>
  </si>
  <si>
    <t>Personal vehicle, as driver or passenger</t>
  </si>
  <si>
    <t>Walking or cycling</t>
  </si>
  <si>
    <t>Public transit</t>
  </si>
  <si>
    <t>Vehicles</t>
  </si>
  <si>
    <t>Future Truck Stock</t>
  </si>
  <si>
    <t>cell names</t>
  </si>
  <si>
    <t>pltretire</t>
  </si>
  <si>
    <t>fltretire</t>
  </si>
  <si>
    <t>mtretire</t>
  </si>
  <si>
    <t>htretire</t>
  </si>
  <si>
    <t>Total</t>
  </si>
  <si>
    <t>retirerate</t>
  </si>
  <si>
    <t>Passenger Automobiles</t>
  </si>
  <si>
    <t>Transit Buses</t>
  </si>
  <si>
    <t>Total number of buses in 2030</t>
  </si>
  <si>
    <t>Electric transit</t>
  </si>
  <si>
    <t>Light Trucks and SUV's</t>
  </si>
  <si>
    <t>Gas cars</t>
  </si>
  <si>
    <t>Growth rate</t>
  </si>
  <si>
    <t>Electric Cars</t>
  </si>
  <si>
    <t>Electric Lights Trucks/SUVs</t>
  </si>
  <si>
    <t>Personal Mobility Energy and Emissions</t>
  </si>
  <si>
    <t>Transit bus</t>
  </si>
  <si>
    <t>Active transportation</t>
  </si>
  <si>
    <t>Occupancy factor by mode</t>
  </si>
  <si>
    <t>Gas SUV's/light trucks</t>
  </si>
  <si>
    <t>Electric SUV's/light trucks</t>
  </si>
  <si>
    <t>Fuel Intensity by Mode</t>
  </si>
  <si>
    <t>PKT mode shares</t>
  </si>
  <si>
    <t>Gas cars, L/100 km gas</t>
  </si>
  <si>
    <t>Electric cars, kwh/100 km</t>
  </si>
  <si>
    <t>Gas SUV's/light trucks, L/100 km</t>
  </si>
  <si>
    <t>Electric SUV's/light trucks, kwh/100 km</t>
  </si>
  <si>
    <t>Electric transit bus, kwh/100 km</t>
  </si>
  <si>
    <t>Electric rail, kwh/car-km</t>
  </si>
  <si>
    <t>Personal vehicle stock, thousands</t>
  </si>
  <si>
    <t>Energy Consumption for Personal Mobility</t>
  </si>
  <si>
    <t>Gasoline</t>
  </si>
  <si>
    <t>Diesel</t>
  </si>
  <si>
    <t>Canadian population</t>
  </si>
  <si>
    <t>Overall growth rate to 2030</t>
  </si>
  <si>
    <t>Per capita personal vehicles</t>
  </si>
  <si>
    <t>Population growth rate</t>
  </si>
  <si>
    <t>Future Stock</t>
  </si>
  <si>
    <t>Car share of sales</t>
  </si>
  <si>
    <t>SUV/light truck share of sales</t>
  </si>
  <si>
    <t>EV as percent of car sales</t>
  </si>
  <si>
    <t>EV as percent of SUV/light truck sales</t>
  </si>
  <si>
    <t>As percent of stock</t>
  </si>
  <si>
    <t>Retirement Rate for Old Vehicles</t>
  </si>
  <si>
    <t>Annual rate</t>
  </si>
  <si>
    <t>Vehicle-km by mode, millions</t>
  </si>
  <si>
    <t>PHEV as percent of SUV/light truck sales</t>
  </si>
  <si>
    <t>PHEV as percent of car sales</t>
  </si>
  <si>
    <t>% of PHEV vkt provided by grid electricity</t>
  </si>
  <si>
    <t>Electric cars (equivalents)</t>
  </si>
  <si>
    <t>Shares of personal vehicle</t>
  </si>
  <si>
    <t>Diesel share of transit bus</t>
  </si>
  <si>
    <t>Electricity share of transit bus</t>
  </si>
  <si>
    <t>Gasoline, millions of litres</t>
  </si>
  <si>
    <t>Diesel, millions of litres</t>
  </si>
  <si>
    <t>Electricity, GW.hour</t>
  </si>
  <si>
    <t>Names</t>
  </si>
  <si>
    <t>Emission factor for grid electricity, kg/GJ</t>
  </si>
  <si>
    <t>gridfactor</t>
  </si>
  <si>
    <t>Expressed in grams per kW-hour:</t>
  </si>
  <si>
    <t>gfactorkwh</t>
  </si>
  <si>
    <t>gasef</t>
  </si>
  <si>
    <t>oilef</t>
  </si>
  <si>
    <t>Grid emission factor after retrofit</t>
  </si>
  <si>
    <t>ggridfactor</t>
  </si>
  <si>
    <t>ggfactorkwh</t>
  </si>
  <si>
    <t>Conversion to square feet from square metres</t>
  </si>
  <si>
    <t>sm2sf</t>
  </si>
  <si>
    <t>Wood emission factor, kg/GJ</t>
  </si>
  <si>
    <t>woodef</t>
  </si>
  <si>
    <t>eprice</t>
  </si>
  <si>
    <t>Current oil price, $/GJ</t>
  </si>
  <si>
    <t>oprice</t>
  </si>
  <si>
    <t>Current wood price, $/GJ</t>
  </si>
  <si>
    <t>wprice</t>
  </si>
  <si>
    <t>GJ per m3 of natural gas</t>
  </si>
  <si>
    <t>gaspm32gj</t>
  </si>
  <si>
    <t>GJ per Litre of heating oil</t>
  </si>
  <si>
    <t>oilp2gj</t>
  </si>
  <si>
    <t>GJ per cord of wood</t>
  </si>
  <si>
    <t>woodp2gj</t>
  </si>
  <si>
    <t>GJ per kwh of electricity</t>
  </si>
  <si>
    <t>elp2gj</t>
  </si>
  <si>
    <t>Emission factor for diesel</t>
  </si>
  <si>
    <t>emdiesel</t>
  </si>
  <si>
    <t>kg per Litre</t>
  </si>
  <si>
    <t>Emission factor for gasoline</t>
  </si>
  <si>
    <t>emgasoline</t>
  </si>
  <si>
    <t>Emission factor electricity</t>
  </si>
  <si>
    <t>emelectric</t>
  </si>
  <si>
    <t>Kg per kWhour</t>
  </si>
  <si>
    <t>Number of commute days per year</t>
  </si>
  <si>
    <t>workyear</t>
  </si>
  <si>
    <t>Gas emissions</t>
  </si>
  <si>
    <t>emnatgaspmj</t>
  </si>
  <si>
    <t>kg per MJ</t>
  </si>
  <si>
    <t>Electricity emissions grid</t>
  </si>
  <si>
    <t>emelectricpermmj</t>
  </si>
  <si>
    <t>Emission Factors (tonnes per TJ or kg per GJ)</t>
  </si>
  <si>
    <t>ngpj</t>
  </si>
  <si>
    <t>Heating Oil</t>
  </si>
  <si>
    <t>fopj</t>
  </si>
  <si>
    <t>gaspj</t>
  </si>
  <si>
    <t>diespj</t>
  </si>
  <si>
    <t>propj</t>
  </si>
  <si>
    <t>In physical units:</t>
  </si>
  <si>
    <t>engpm3</t>
  </si>
  <si>
    <t>kg/m3</t>
  </si>
  <si>
    <t>elfopm3</t>
  </si>
  <si>
    <t>kg/Litre</t>
  </si>
  <si>
    <t>egasplitre</t>
  </si>
  <si>
    <t>edieselplitre</t>
  </si>
  <si>
    <t>epropplitre</t>
  </si>
  <si>
    <t>Densities</t>
  </si>
  <si>
    <t>Energy densities</t>
  </si>
  <si>
    <t>Gasoline, kt CO2e</t>
  </si>
  <si>
    <t>Diesel, kt CO2e</t>
  </si>
  <si>
    <t>Electricity, kt CO2e</t>
  </si>
  <si>
    <t>Total GHG Emissions, kt CO2e/year</t>
  </si>
  <si>
    <t>Gas emission factor, kg/GJ</t>
  </si>
  <si>
    <t>Oil emission factor, kg/GJ</t>
  </si>
  <si>
    <t>Current gasoline price, $/L</t>
  </si>
  <si>
    <t>Gasoline, millions of $</t>
  </si>
  <si>
    <t>PRICES</t>
  </si>
  <si>
    <t>Current diesel price, $/Litre</t>
  </si>
  <si>
    <t>Current nat gas price, $/GJ</t>
  </si>
  <si>
    <t>ngprice</t>
  </si>
  <si>
    <t>gaspriceperL</t>
  </si>
  <si>
    <t>dieselpriceperL</t>
  </si>
  <si>
    <t>Current electricity price, $/kwh</t>
  </si>
  <si>
    <t>FUTURE PRICES</t>
  </si>
  <si>
    <t>Gasoline, $/L</t>
  </si>
  <si>
    <t>Diesel, $/L</t>
  </si>
  <si>
    <t>Electricity, $/kW.hour</t>
  </si>
  <si>
    <t>fgaspriceperL</t>
  </si>
  <si>
    <t>fdieselpriceperL</t>
  </si>
  <si>
    <t>feprice</t>
  </si>
  <si>
    <t>Diesel, millions of $</t>
  </si>
  <si>
    <t>Incremental capital cost for electric vehicles</t>
  </si>
  <si>
    <t>``</t>
  </si>
  <si>
    <t>Electricity, millions of $</t>
  </si>
  <si>
    <t>Total energy costs for personal mobility, millions of $</t>
  </si>
  <si>
    <t>Incremental cost per car, $</t>
  </si>
  <si>
    <t>Incremental cost per SUV, $</t>
  </si>
  <si>
    <t>Incremental capital investment for EV cars, millions of $</t>
  </si>
  <si>
    <t>Incremental capital investment for EV SUV, light trucks, millions of $</t>
  </si>
  <si>
    <t>Total personal vehicle stock. Thousands</t>
  </si>
  <si>
    <t>Cars, thousands</t>
  </si>
  <si>
    <t>Light trucks, thousands</t>
  </si>
  <si>
    <t>Retirements of cars, thousands</t>
  </si>
  <si>
    <t>Retirements of SUV/light trucks, thousands</t>
  </si>
  <si>
    <t>Growth in Stock, thousands</t>
  </si>
  <si>
    <t>New personal vehicle sales, thousands</t>
  </si>
  <si>
    <t>Equivalent EV cars added to stock, thousands</t>
  </si>
  <si>
    <t>Equivalent EV SUV/light trucks added to stock, thousands</t>
  </si>
  <si>
    <t>Cumulative stock of EV (equivalent) cars, thousands</t>
  </si>
  <si>
    <t>Cumulative stock of EV (equivalent) SUV/light trucks, thousands</t>
  </si>
  <si>
    <t>Total EV's in stock, thousands</t>
  </si>
  <si>
    <t>Cars, millions of $</t>
  </si>
  <si>
    <t>SUV's, millions of $</t>
  </si>
  <si>
    <t>Total, millions of $</t>
  </si>
  <si>
    <t>Evolution of Personal Vehicle Stock</t>
  </si>
  <si>
    <t>Incremental cost per electric vehicle, including home charger, $</t>
  </si>
  <si>
    <t>Annual decline in incremental cost for EV cars</t>
  </si>
  <si>
    <t>Annual decline in incremental cost for EV SUV, light truck</t>
  </si>
  <si>
    <t>Incremental cost per electric SUV, including home charger, $</t>
  </si>
  <si>
    <t>CEUD Historical Data</t>
  </si>
  <si>
    <t>CEUD Historical data to 2017</t>
  </si>
  <si>
    <t>Personal Vehicle Stock Projection</t>
  </si>
  <si>
    <t>Mode shares of person-kilometres of travel</t>
  </si>
  <si>
    <t>Gasoline price, $/Litre</t>
  </si>
  <si>
    <t>Diesel price, $/Litre</t>
  </si>
  <si>
    <t>SCENARIO RESULTS</t>
  </si>
  <si>
    <t>Annual energy costs for personal mobility</t>
  </si>
  <si>
    <t>Annual capital premium for EV's and home chargers</t>
  </si>
  <si>
    <t>Annual person-years of employment</t>
  </si>
  <si>
    <t>Employment</t>
  </si>
  <si>
    <t>Key Scenario Results</t>
  </si>
  <si>
    <t>Number of electric transit buses by 2030</t>
  </si>
  <si>
    <t>Per capita travel, person-km per year, excl. of air and intercity rail</t>
  </si>
  <si>
    <t>Total personal vehicle growth rate</t>
  </si>
  <si>
    <t>Total incremental capital for electric vehicles, millions of $</t>
  </si>
  <si>
    <t>Active Transportation</t>
  </si>
  <si>
    <t>New kilometres of bike lanes</t>
  </si>
  <si>
    <t>Electric Transit Buses</t>
  </si>
  <si>
    <t>Emission Reduction Investments</t>
  </si>
  <si>
    <t>Cost per kilometre of bike lane</t>
  </si>
  <si>
    <t>By 2030</t>
  </si>
  <si>
    <t>Ten year growth, 2007-2017</t>
  </si>
  <si>
    <t>10 yr growth rates</t>
  </si>
  <si>
    <t>Ten year growth rate</t>
  </si>
  <si>
    <t>Stock</t>
  </si>
  <si>
    <t>Cargrowth</t>
  </si>
  <si>
    <t>pltgrowth</t>
  </si>
  <si>
    <t>fltgrowth</t>
  </si>
  <si>
    <t>mtgrowth</t>
  </si>
  <si>
    <t>htgrowth</t>
  </si>
  <si>
    <t>Cell names</t>
  </si>
  <si>
    <t>Light trucks</t>
  </si>
  <si>
    <t>Medium trucks</t>
  </si>
  <si>
    <t>Heavy trucks</t>
  </si>
  <si>
    <t>Commercial Trucks</t>
  </si>
  <si>
    <t>Future Stock (thousands)</t>
  </si>
  <si>
    <t>Retirements (thousands)</t>
  </si>
  <si>
    <t>Electric vehicle share of sales</t>
  </si>
  <si>
    <t>EV's as percent of stock</t>
  </si>
  <si>
    <t>New vehicles (thousands)</t>
  </si>
  <si>
    <t>Electric trucks added to stock (thousands)</t>
  </si>
  <si>
    <t>Cumulative stock of electric trucks (thousands)</t>
  </si>
  <si>
    <t>Annual decline in incremental cost for EV trucks</t>
  </si>
  <si>
    <t>Incremental investment in electric trucks, million $</t>
  </si>
  <si>
    <t>Heavy commercial trucks</t>
  </si>
  <si>
    <t>Light commercial trucks, L/100 km</t>
  </si>
  <si>
    <t>Medium commercial trucks, L/100 km</t>
  </si>
  <si>
    <t>Input parameters</t>
  </si>
  <si>
    <t>Stock growth rate</t>
  </si>
  <si>
    <t>Percent of stock retired each year</t>
  </si>
  <si>
    <t>Fuel consumption rate, L/100 km</t>
  </si>
  <si>
    <t>Average distance travelled per year, km</t>
  </si>
  <si>
    <t>Electricity consumption rate of electric trucks, kwh/100 km</t>
  </si>
  <si>
    <t>Cost premium for electric truck, $ per truck</t>
  </si>
  <si>
    <t>Annual rate of decline of premium</t>
  </si>
  <si>
    <t>Truck electrification input parameters</t>
  </si>
  <si>
    <t>Electric share of medium truck sales</t>
  </si>
  <si>
    <t>Electric share of light truck sales</t>
  </si>
  <si>
    <t>Electric share of heavy truck sales</t>
  </si>
  <si>
    <t>Personal vehicles:</t>
  </si>
  <si>
    <t>Commercial trucks:</t>
  </si>
  <si>
    <t>Personal vehicle input parameters</t>
  </si>
  <si>
    <t>SUV/light trucks</t>
  </si>
  <si>
    <t>Electricity consumption rate of EV's, kWh/100 km</t>
  </si>
  <si>
    <t>Cost premium for EV</t>
  </si>
  <si>
    <t>Annual rate of decline of EV cost premium, 2021-2030</t>
  </si>
  <si>
    <t>Personal vehicle electrification parameters</t>
  </si>
  <si>
    <t>Light trucks, gasoline</t>
  </si>
  <si>
    <t>Medium trucks, diesel</t>
  </si>
  <si>
    <t>Heavy trucks, diesel</t>
  </si>
  <si>
    <t>Electricity Consumption, TW-h</t>
  </si>
  <si>
    <t>Energy costs, millions $</t>
  </si>
  <si>
    <t>Fuel Consumption, PJ</t>
  </si>
  <si>
    <t>Greenhouse gas emissions, Mt CO2 eq</t>
  </si>
  <si>
    <t>Incremental capital costs, millions</t>
  </si>
  <si>
    <t>Fuel use, PJ</t>
  </si>
  <si>
    <t>Electricity use, TW-h</t>
  </si>
  <si>
    <t>Fuel and Electricity Costs, million $</t>
  </si>
  <si>
    <t>Greenhouse gas emissions, Mt CO2e</t>
  </si>
  <si>
    <t>Capital cost premium, millions $</t>
  </si>
  <si>
    <t>Fuel savings, PJ</t>
  </si>
  <si>
    <t>Greenhouse gas emission reductions, Mt CO2e</t>
  </si>
  <si>
    <t>Employment, person-years</t>
  </si>
  <si>
    <t>Base</t>
  </si>
  <si>
    <t>Per capita daily active transportation, km/person per day</t>
  </si>
  <si>
    <t>Resulting increase in mode share of active transportation (% of pkt)</t>
  </si>
  <si>
    <t>No. of charging stations</t>
  </si>
  <si>
    <t>Level 3 chargers per station, 50 kW</t>
  </si>
  <si>
    <t>Equipment and installation cost per Level 3 charger</t>
  </si>
  <si>
    <t>Equipment and installation cost per Level 5 charger</t>
  </si>
  <si>
    <t>Level 5 charters per station, 350 kW</t>
  </si>
  <si>
    <t>Transformer and utility costs, per station</t>
  </si>
  <si>
    <t>Truck electrification</t>
  </si>
  <si>
    <t>Electric transit buses</t>
  </si>
  <si>
    <t>Jobs (person-years) over ten year period</t>
  </si>
  <si>
    <t>Other Input Parameters</t>
  </si>
  <si>
    <t>Total capital costs per station, $</t>
  </si>
  <si>
    <t>Total capital cost (millions $)</t>
  </si>
  <si>
    <t>Employment multiplier, FTE per million $</t>
  </si>
  <si>
    <t>SUV/light truck share of personal vehicle sales</t>
  </si>
  <si>
    <t>Cars as share of personal vehicle sales</t>
  </si>
  <si>
    <t>Millions $</t>
  </si>
  <si>
    <t>Per capita mobility, net of air and intercity rail &amp; bus, km per year</t>
  </si>
  <si>
    <t>Total personal mobility, kilometres per year</t>
  </si>
  <si>
    <t>Light trucks - gasoline</t>
  </si>
  <si>
    <t>Light trucks - electricity</t>
  </si>
  <si>
    <t>Medium trucks - diesel</t>
  </si>
  <si>
    <t>Medium trucks - electricity</t>
  </si>
  <si>
    <t>Heavy trucks - electricity</t>
  </si>
  <si>
    <t>Share of trucks that are electric</t>
  </si>
  <si>
    <t>Electricity</t>
  </si>
  <si>
    <t>Vehicle stock, thousands</t>
  </si>
  <si>
    <t>Trans Canada Ultrafast charging infrastructure</t>
  </si>
  <si>
    <t>Trans Canada Ultrafast Charging Infrastructure</t>
  </si>
  <si>
    <t xml:space="preserve">Electric Vehicle Charging Infrastructure </t>
  </si>
  <si>
    <t>Charging Infrastructure for Commercial Trucking Sector</t>
  </si>
  <si>
    <t>Cost per charger, commercial light trucks</t>
  </si>
  <si>
    <t>Cost per charger, medium trucks</t>
  </si>
  <si>
    <t>Cost per charger, heavy trucks</t>
  </si>
  <si>
    <t>Commercial light trucks, number of installations by 2030</t>
  </si>
  <si>
    <t>Truck Chargers Installed, number of installations, thousands</t>
  </si>
  <si>
    <t>Incremental cost per truck, thousands of $</t>
  </si>
  <si>
    <t>Heavy trucks - diesel</t>
  </si>
  <si>
    <t>Personal Vehicles</t>
  </si>
  <si>
    <t>Total GHG emissions, kt CO2e</t>
  </si>
  <si>
    <t>Total personal vehicle stock, thousands</t>
  </si>
  <si>
    <t>Total GHG emissions from commercial trucks</t>
  </si>
  <si>
    <t>GHG emissions from trucks, kt CO2e</t>
  </si>
  <si>
    <t>Total truck energy consumption, PJ</t>
  </si>
  <si>
    <t>Truck energy consumption, PJ</t>
  </si>
  <si>
    <t>Total truck stock</t>
  </si>
  <si>
    <t>Truck charging infrastructure</t>
  </si>
  <si>
    <t>Net annual savings in vehicle fuel by 2030, millions $</t>
  </si>
  <si>
    <t>Total capital investment, 2021-2030</t>
  </si>
  <si>
    <t>Capital investments in decarbonizing transport:</t>
  </si>
  <si>
    <t>Annual GHG reductions in 2030, Mt CO2e, relative to base case</t>
  </si>
  <si>
    <t>Cumulative GHG reductions by 2030, Mt CO2e, relative to base case</t>
  </si>
  <si>
    <r>
      <rPr>
        <b/>
        <sz val="16"/>
        <rFont val="Arial"/>
        <family val="2"/>
      </rPr>
      <t>Electric Vehicle Scenario</t>
    </r>
    <r>
      <rPr>
        <b/>
        <sz val="14"/>
        <rFont val="Arial"/>
        <family val="2"/>
      </rPr>
      <t xml:space="preserve">
</t>
    </r>
    <r>
      <rPr>
        <b/>
        <sz val="11"/>
        <rFont val="Arial"/>
        <family val="2"/>
      </rPr>
      <t>(specify rate of EV uptake, as well as the car/SUV split)</t>
    </r>
  </si>
  <si>
    <t>Personal vehicle electrification (including charging infrastructure)</t>
  </si>
  <si>
    <t>From CEUD database, NRCan</t>
  </si>
  <si>
    <t>Total capital expenditure, TransCanada charging stations (millions $)</t>
  </si>
  <si>
    <t>Total capital expenditures on truck charging stations, 2021-2030, millions $</t>
  </si>
  <si>
    <t>GHG intensity of electricity, grams per kW-hour</t>
  </si>
  <si>
    <t>Electricity price, $/kW-hour</t>
  </si>
  <si>
    <t>Active transportation infrastructure</t>
  </si>
  <si>
    <t>Personal vehicles</t>
  </si>
  <si>
    <t>ELECTRIC TRANSIT BUSES</t>
  </si>
  <si>
    <t>Number of buses</t>
  </si>
  <si>
    <t>Share of total deployment of electric buses</t>
  </si>
  <si>
    <t>Electric transit bus:</t>
  </si>
  <si>
    <t>Above number of electric buses as a share of all transit buses in 2030</t>
  </si>
  <si>
    <t>Total incremental expenditure for electric transit buses, millions $</t>
  </si>
  <si>
    <t xml:space="preserve">Activity </t>
  </si>
  <si>
    <t>Passenger-kilometres (millions)</t>
  </si>
  <si>
    <t>Energy Intensity (MJ/Pkm)</t>
  </si>
  <si>
    <t>Bus Energy Use (PJ)</t>
  </si>
  <si>
    <t>Energy Use by Bus Type (PJ)</t>
  </si>
  <si>
    <t>Urban transit bus calculations</t>
  </si>
  <si>
    <t>GJ per bus</t>
  </si>
  <si>
    <t>MJ/KM</t>
  </si>
  <si>
    <t>L/100 km</t>
  </si>
  <si>
    <t>Litres/100 km</t>
  </si>
  <si>
    <t>Assumed bus energy consumption</t>
  </si>
  <si>
    <t>Cumulative stock of E-buses in service</t>
  </si>
  <si>
    <t>Emission reductions, Mt CO2e</t>
  </si>
  <si>
    <t>Incremental cost per bus</t>
  </si>
  <si>
    <t>Incremental capital cost, millions $</t>
  </si>
  <si>
    <t>Incremental capital cost for electricity transit bus, $</t>
  </si>
  <si>
    <t>School bus calculations</t>
  </si>
  <si>
    <t>MJ/km</t>
  </si>
  <si>
    <t>Assume school bus energy intensity</t>
  </si>
  <si>
    <t>Electric School Buses</t>
  </si>
  <si>
    <t>Number of electric school buses by 2030</t>
  </si>
  <si>
    <t>Incremental capital cost for electric school bus, $</t>
  </si>
  <si>
    <t>Annual decline in the incremental capital cost</t>
  </si>
  <si>
    <t>Above number of electric buses as a share of all school buses</t>
  </si>
  <si>
    <t>ELECTRIC SCHOOL BUSES</t>
  </si>
  <si>
    <t>Electric school bus:</t>
  </si>
  <si>
    <t>Share of total deployment of electric school buses</t>
  </si>
  <si>
    <t>Electric transit buses and school buses</t>
  </si>
  <si>
    <t>Key Results, Personal Vehicles, Relative to Baseline</t>
  </si>
  <si>
    <t>gasmjpl</t>
  </si>
  <si>
    <t>diesmjpl</t>
  </si>
  <si>
    <t>propmjpl</t>
  </si>
  <si>
    <t>oilmjpl</t>
  </si>
  <si>
    <t>ngmjpm3</t>
  </si>
  <si>
    <t>Saved Personal Vehicle Baseline, used for above results calcs</t>
  </si>
  <si>
    <t>Comm Trucks</t>
  </si>
  <si>
    <t>Key Results, Commercial Trucks, Relative to Baseline</t>
  </si>
  <si>
    <t>Energy Prices Used for Analysis</t>
  </si>
  <si>
    <t>Electricity, $/kWh</t>
  </si>
  <si>
    <t>Gasoline, $/GJ</t>
  </si>
  <si>
    <t>Diesel, $/GJ</t>
  </si>
  <si>
    <t>Electricity, $/GJ</t>
  </si>
  <si>
    <t>transit bus</t>
  </si>
  <si>
    <t>school bus</t>
  </si>
  <si>
    <t>Diesel transit bus, L/100 km, diesel</t>
  </si>
  <si>
    <t>Fuel savings, PJ of diesel</t>
  </si>
  <si>
    <t>Electricity consumption, TW-h</t>
  </si>
  <si>
    <t>Grid emission factor, grams per kwhour</t>
  </si>
  <si>
    <t>Diesel school bus, L/100 km</t>
  </si>
  <si>
    <t>Electricity consumption rate, kWh/100 km, in 2030</t>
  </si>
  <si>
    <t>Electric school bus, kwh/100 km</t>
  </si>
  <si>
    <t>ENABLING INVESTMENTS</t>
  </si>
  <si>
    <t>Transcanada Charger Network, capital, millions $</t>
  </si>
  <si>
    <t>Active transportation, capital investment, millions $</t>
  </si>
  <si>
    <t>Schedule for Truck Charging Netowrk</t>
  </si>
  <si>
    <t>Truck charging network, capital, millions $</t>
  </si>
  <si>
    <t>Estimated Emission reductions, Mt CO2e</t>
  </si>
  <si>
    <t>enabling</t>
  </si>
  <si>
    <t>capital</t>
  </si>
  <si>
    <t>jobs</t>
  </si>
  <si>
    <t>Totals for Enabling Investments</t>
  </si>
  <si>
    <t>Captial expenditures, millions $</t>
  </si>
  <si>
    <t>Complete Scenario Results, Relative to Baseline</t>
  </si>
  <si>
    <t>Capital Expenditures, millions $</t>
  </si>
  <si>
    <t>Electric school buses</t>
  </si>
  <si>
    <t>Cumulative</t>
  </si>
  <si>
    <t>Emission Reductions, Mt CO2e</t>
  </si>
  <si>
    <t>Net annual savings in energy costs, millions $</t>
  </si>
  <si>
    <t>Annual savings in energy costs, millions $</t>
  </si>
  <si>
    <t>Electricity savings, TW-h</t>
  </si>
  <si>
    <t>Fuel and Electricity savings, million $</t>
  </si>
  <si>
    <t>Electric Vehicle Scenario
(specify rate of EV uptake, as well as the car/SUV split)</t>
  </si>
  <si>
    <t>Electricity increase, TW-h</t>
  </si>
  <si>
    <t>Transport Energy and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</si>
</sst>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00_);_(&quot;$&quot;* \(#,##0.00\);_(&quot;$&quot;* &quot;-&quot;??_);_(@_)"/>
    <numFmt numFmtId="165" formatCode="_(* #,##0.00_);_(* \(#,##0.00\);_(* &quot;-&quot;??_);_(@_)"/>
    <numFmt numFmtId="166" formatCode="0.0"/>
    <numFmt numFmtId="167" formatCode="0.0%"/>
    <numFmt numFmtId="168" formatCode="0.0000"/>
    <numFmt numFmtId="169" formatCode="#,##0.0"/>
    <numFmt numFmtId="170" formatCode="_(* #,##0.0_);_(* \(#,##0.0\);_(* &quot;-&quot;??_);_(@_)"/>
    <numFmt numFmtId="171" formatCode="_(* #,##0_);_(* \(#,##0\);_(* &quot;-&quot;??_);_(@_)"/>
    <numFmt numFmtId="172" formatCode="_-* #,##0.0_-;\-* #,##0.0_-;_-* &quot;-&quot;??_-;_-@_-"/>
    <numFmt numFmtId="173" formatCode="_-* #,##0_-;\-* #,##0_-;_-* &quot;-&quot;??_-;_-@_-"/>
    <numFmt numFmtId="174" formatCode="_-* #,##0.000_-;\-* #,##0.000_-;_-* &quot;-&quot;??_-;_-@_-"/>
    <numFmt numFmtId="175" formatCode="_(&quot;$&quot;* #,##0_);_(&quot;$&quot;* \(#,##0\);_(&quot;$&quot;* &quot;-&quot;??_);_(@_)"/>
  </numFmts>
  <fonts count="25" x14ac:knownFonts="1">
    <font>
      <sz val="10"/>
      <name val="Arial"/>
    </font>
    <font>
      <sz val="11"/>
      <color theme="1"/>
      <name val="Calibri"/>
      <family val="2"/>
      <scheme val="minor"/>
    </font>
    <font>
      <sz val="10"/>
      <name val="Arial"/>
    </font>
    <font>
      <b/>
      <sz val="14"/>
      <name val="Arial"/>
      <family val="2"/>
    </font>
    <font>
      <sz val="12"/>
      <name val="Arial"/>
      <family val="2"/>
    </font>
    <font>
      <b/>
      <sz val="10"/>
      <name val="Arial"/>
      <family val="2"/>
    </font>
    <font>
      <b/>
      <sz val="12"/>
      <name val="Arial"/>
      <family val="2"/>
    </font>
    <font>
      <sz val="10"/>
      <name val="Arial"/>
      <family val="2"/>
    </font>
    <font>
      <b/>
      <u/>
      <sz val="10"/>
      <name val="Arial"/>
      <family val="2"/>
    </font>
    <font>
      <b/>
      <sz val="11"/>
      <name val="Arial"/>
      <family val="2"/>
    </font>
    <font>
      <sz val="14"/>
      <name val="Arial"/>
      <family val="2"/>
    </font>
    <font>
      <sz val="10"/>
      <name val="Arial"/>
      <family val="2"/>
    </font>
    <font>
      <b/>
      <sz val="16"/>
      <name val="Arial"/>
      <family val="2"/>
    </font>
    <font>
      <sz val="10"/>
      <name val="Arial"/>
      <family val="2"/>
    </font>
    <font>
      <sz val="20"/>
      <name val="Arial"/>
      <family val="2"/>
    </font>
    <font>
      <sz val="9"/>
      <color indexed="81"/>
      <name val="Tahoma"/>
      <family val="2"/>
    </font>
    <font>
      <b/>
      <sz val="9"/>
      <color indexed="81"/>
      <name val="Tahoma"/>
      <family val="2"/>
    </font>
    <font>
      <sz val="10"/>
      <name val="Arial"/>
    </font>
    <font>
      <sz val="11"/>
      <color theme="1"/>
      <name val="Calibri"/>
      <family val="2"/>
      <scheme val="minor"/>
    </font>
    <font>
      <b/>
      <sz val="10"/>
      <color theme="3"/>
      <name val="Arial"/>
      <family val="2"/>
    </font>
    <font>
      <b/>
      <sz val="10"/>
      <color theme="3" tint="-0.249977111117893"/>
      <name val="Arial"/>
      <family val="2"/>
    </font>
    <font>
      <b/>
      <sz val="22"/>
      <name val="Arial"/>
      <family val="2"/>
    </font>
    <font>
      <b/>
      <sz val="10"/>
      <color indexed="8"/>
      <name val="Arial"/>
      <family val="2"/>
    </font>
    <font>
      <sz val="10"/>
      <color indexed="8"/>
      <name val="Arial"/>
      <family val="2"/>
    </font>
    <font>
      <b/>
      <i/>
      <sz val="10"/>
      <name val="Arial"/>
      <family val="2"/>
    </font>
  </fonts>
  <fills count="26">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9FDCB"/>
        <bgColor indexed="64"/>
      </patternFill>
    </fill>
    <fill>
      <patternFill patternType="solid">
        <fgColor theme="2"/>
        <bgColor indexed="64"/>
      </patternFill>
    </fill>
    <fill>
      <patternFill patternType="solid">
        <fgColor theme="7" tint="0.79998168889431442"/>
        <bgColor indexed="64"/>
      </patternFill>
    </fill>
    <fill>
      <patternFill patternType="solid">
        <fgColor rgb="FF9FFF9F"/>
        <bgColor indexed="64"/>
      </patternFill>
    </fill>
    <fill>
      <patternFill patternType="solid">
        <fgColor theme="5" tint="0.59999389629810485"/>
        <bgColor indexed="64"/>
      </patternFill>
    </fill>
    <fill>
      <patternFill patternType="solid">
        <fgColor rgb="FFBDD8FF"/>
        <bgColor indexed="64"/>
      </patternFill>
    </fill>
    <fill>
      <patternFill patternType="solid">
        <fgColor rgb="FFFBB8A3"/>
        <bgColor indexed="64"/>
      </patternFill>
    </fill>
    <fill>
      <patternFill patternType="solid">
        <fgColor rgb="FFFFBF93"/>
        <bgColor indexed="64"/>
      </patternFill>
    </fill>
    <fill>
      <patternFill patternType="solid">
        <fgColor theme="6" tint="0.59999389629810485"/>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5" fontId="2" fillId="0" borderId="0" applyFont="0" applyFill="0" applyBorder="0" applyAlignment="0" applyProtection="0"/>
    <xf numFmtId="164" fontId="2" fillId="0" borderId="0" applyFont="0" applyFill="0" applyBorder="0" applyAlignment="0" applyProtection="0"/>
    <xf numFmtId="0" fontId="18" fillId="0" borderId="0"/>
    <xf numFmtId="9" fontId="2" fillId="0" borderId="0" applyFont="0" applyFill="0" applyBorder="0" applyAlignment="0" applyProtection="0"/>
  </cellStyleXfs>
  <cellXfs count="519">
    <xf numFmtId="0" fontId="0" fillId="0" borderId="0" xfId="0"/>
    <xf numFmtId="0" fontId="4" fillId="0" borderId="0" xfId="0" applyFont="1"/>
    <xf numFmtId="0" fontId="3" fillId="0" borderId="0" xfId="0" applyFont="1"/>
    <xf numFmtId="0" fontId="0" fillId="0" borderId="0" xfId="0" applyAlignment="1">
      <alignment horizontal="right"/>
    </xf>
    <xf numFmtId="0" fontId="6" fillId="0" borderId="0" xfId="0" applyFont="1"/>
    <xf numFmtId="0" fontId="4" fillId="0" borderId="0" xfId="0" applyFont="1" applyFill="1"/>
    <xf numFmtId="0" fontId="6" fillId="0" borderId="0" xfId="0" applyFont="1" applyFill="1" applyAlignment="1">
      <alignment horizontal="right"/>
    </xf>
    <xf numFmtId="0" fontId="0" fillId="0" borderId="0" xfId="0" applyFill="1"/>
    <xf numFmtId="2" fontId="2" fillId="0" borderId="0" xfId="0" applyNumberFormat="1" applyFont="1" applyAlignment="1">
      <alignment horizontal="right"/>
    </xf>
    <xf numFmtId="0" fontId="5" fillId="0" borderId="0" xfId="0" applyFont="1" applyAlignment="1">
      <alignment horizontal="right"/>
    </xf>
    <xf numFmtId="0" fontId="0" fillId="0" borderId="0" xfId="0" applyFill="1" applyAlignment="1">
      <alignment horizontal="right"/>
    </xf>
    <xf numFmtId="0" fontId="0" fillId="0" borderId="0" xfId="0" applyAlignment="1">
      <alignment horizontal="left"/>
    </xf>
    <xf numFmtId="0" fontId="7" fillId="0" borderId="0" xfId="0" applyFont="1"/>
    <xf numFmtId="0" fontId="7" fillId="0" borderId="0" xfId="0" applyFont="1" applyFill="1"/>
    <xf numFmtId="0" fontId="5" fillId="0" borderId="0" xfId="0" applyFont="1" applyAlignment="1">
      <alignment horizontal="left"/>
    </xf>
    <xf numFmtId="0" fontId="5" fillId="0" borderId="0" xfId="0" applyFont="1" applyAlignment="1">
      <alignment horizontal="left" wrapText="1"/>
    </xf>
    <xf numFmtId="166" fontId="0" fillId="0" borderId="0" xfId="0" applyNumberFormat="1"/>
    <xf numFmtId="0" fontId="0" fillId="0" borderId="0" xfId="0" applyAlignment="1">
      <alignment wrapText="1"/>
    </xf>
    <xf numFmtId="0" fontId="8" fillId="0" borderId="0" xfId="0" applyFont="1"/>
    <xf numFmtId="0" fontId="0" fillId="0" borderId="0" xfId="0" applyBorder="1"/>
    <xf numFmtId="0" fontId="7" fillId="0" borderId="0" xfId="0" applyFont="1" applyAlignment="1">
      <alignment horizontal="left" indent="2"/>
    </xf>
    <xf numFmtId="0" fontId="0" fillId="0" borderId="0" xfId="0" applyAlignment="1">
      <alignment horizontal="left" indent="2"/>
    </xf>
    <xf numFmtId="2" fontId="2" fillId="0" borderId="0" xfId="0" applyNumberFormat="1" applyFont="1" applyAlignment="1">
      <alignment horizontal="left" indent="2"/>
    </xf>
    <xf numFmtId="0" fontId="5" fillId="0" borderId="1" xfId="0" applyFont="1" applyBorder="1"/>
    <xf numFmtId="3" fontId="0" fillId="0" borderId="0" xfId="0" applyNumberFormat="1"/>
    <xf numFmtId="169" fontId="0" fillId="0" borderId="0" xfId="0" applyNumberFormat="1"/>
    <xf numFmtId="166" fontId="0" fillId="0" borderId="0" xfId="0" applyNumberFormat="1" applyFill="1"/>
    <xf numFmtId="3" fontId="0" fillId="0" borderId="0" xfId="0" applyNumberFormat="1" applyFill="1"/>
    <xf numFmtId="1" fontId="0" fillId="0" borderId="0" xfId="0" applyNumberFormat="1"/>
    <xf numFmtId="0" fontId="5" fillId="0" borderId="1" xfId="0" applyFont="1" applyFill="1" applyBorder="1"/>
    <xf numFmtId="169" fontId="0" fillId="0" borderId="0" xfId="0" applyNumberFormat="1" applyFill="1"/>
    <xf numFmtId="1" fontId="0" fillId="0" borderId="0" xfId="0" applyNumberFormat="1" applyFill="1"/>
    <xf numFmtId="0" fontId="0" fillId="0" borderId="0" xfId="0" applyFill="1" applyAlignment="1">
      <alignment wrapText="1"/>
    </xf>
    <xf numFmtId="167" fontId="0" fillId="0" borderId="0" xfId="4" applyNumberFormat="1" applyFont="1"/>
    <xf numFmtId="167" fontId="0" fillId="0" borderId="0" xfId="0" applyNumberFormat="1"/>
    <xf numFmtId="0" fontId="5" fillId="0" borderId="0" xfId="0" applyFont="1" applyFill="1" applyBorder="1"/>
    <xf numFmtId="171" fontId="0" fillId="0" borderId="0" xfId="1" applyNumberFormat="1" applyFont="1"/>
    <xf numFmtId="171" fontId="19" fillId="0" borderId="0" xfId="1" applyNumberFormat="1" applyFont="1"/>
    <xf numFmtId="173" fontId="20" fillId="0" borderId="0" xfId="0" applyNumberFormat="1" applyFont="1"/>
    <xf numFmtId="171" fontId="0" fillId="0" borderId="0" xfId="0" applyNumberFormat="1"/>
    <xf numFmtId="0" fontId="0" fillId="0" borderId="2" xfId="0" applyBorder="1"/>
    <xf numFmtId="0" fontId="7" fillId="0" borderId="2" xfId="0" applyFont="1" applyBorder="1"/>
    <xf numFmtId="0" fontId="0" fillId="3" borderId="0" xfId="0" applyFill="1"/>
    <xf numFmtId="0" fontId="7" fillId="3" borderId="0" xfId="0" applyFont="1" applyFill="1"/>
    <xf numFmtId="0" fontId="0" fillId="0" borderId="2" xfId="0" applyBorder="1" applyAlignment="1">
      <alignment horizontal="center"/>
    </xf>
    <xf numFmtId="9" fontId="7" fillId="4" borderId="2" xfId="4" applyFont="1" applyFill="1" applyBorder="1"/>
    <xf numFmtId="9" fontId="11" fillId="5" borderId="2" xfId="4" applyFont="1" applyFill="1" applyBorder="1"/>
    <xf numFmtId="0" fontId="5" fillId="0" borderId="2" xfId="0" applyFont="1" applyBorder="1" applyAlignment="1">
      <alignment horizontal="center"/>
    </xf>
    <xf numFmtId="0" fontId="7" fillId="0" borderId="2" xfId="0" applyFont="1" applyBorder="1" applyAlignment="1">
      <alignment horizontal="center"/>
    </xf>
    <xf numFmtId="0" fontId="7" fillId="0" borderId="2" xfId="0" applyFont="1" applyFill="1" applyBorder="1"/>
    <xf numFmtId="0" fontId="7" fillId="0" borderId="0" xfId="0" applyFont="1" applyFill="1" applyBorder="1"/>
    <xf numFmtId="0" fontId="6" fillId="3" borderId="0" xfId="0" applyFont="1" applyFill="1"/>
    <xf numFmtId="171" fontId="11" fillId="3" borderId="0" xfId="1" applyNumberFormat="1" applyFont="1" applyFill="1"/>
    <xf numFmtId="167" fontId="11" fillId="3" borderId="0" xfId="4" applyNumberFormat="1" applyFont="1" applyFill="1"/>
    <xf numFmtId="171" fontId="0" fillId="3" borderId="0" xfId="0" applyNumberFormat="1" applyFill="1"/>
    <xf numFmtId="171" fontId="19" fillId="3" borderId="0" xfId="1" applyNumberFormat="1" applyFont="1" applyFill="1"/>
    <xf numFmtId="173" fontId="20" fillId="3" borderId="0" xfId="0" applyNumberFormat="1" applyFont="1" applyFill="1"/>
    <xf numFmtId="171" fontId="0" fillId="0" borderId="2" xfId="0" applyNumberFormat="1" applyBorder="1"/>
    <xf numFmtId="0" fontId="0" fillId="0" borderId="2" xfId="0" applyBorder="1" applyAlignment="1">
      <alignment horizontal="left" indent="2"/>
    </xf>
    <xf numFmtId="167" fontId="0" fillId="0" borderId="2" xfId="0" applyNumberFormat="1" applyBorder="1"/>
    <xf numFmtId="0" fontId="0" fillId="0" borderId="0" xfId="0" applyFont="1" applyFill="1" applyBorder="1" applyAlignment="1">
      <alignment horizontal="left" indent="2"/>
    </xf>
    <xf numFmtId="0" fontId="7" fillId="0" borderId="2" xfId="0" applyFont="1" applyFill="1" applyBorder="1" applyAlignment="1">
      <alignment horizontal="left" indent="2"/>
    </xf>
    <xf numFmtId="166" fontId="0" fillId="0" borderId="2" xfId="0" applyNumberFormat="1" applyBorder="1"/>
    <xf numFmtId="171" fontId="0" fillId="0" borderId="2" xfId="1" applyNumberFormat="1" applyFont="1" applyBorder="1"/>
    <xf numFmtId="0" fontId="6" fillId="0" borderId="2" xfId="0" applyFont="1" applyBorder="1" applyAlignment="1">
      <alignment horizontal="center" vertical="center" wrapText="1"/>
    </xf>
    <xf numFmtId="0" fontId="7" fillId="0" borderId="2" xfId="0" applyFont="1" applyBorder="1" applyAlignment="1">
      <alignment horizontal="left" indent="2"/>
    </xf>
    <xf numFmtId="0" fontId="5" fillId="0" borderId="2" xfId="0" applyFont="1" applyBorder="1" applyAlignment="1">
      <alignment horizontal="left" indent="2"/>
    </xf>
    <xf numFmtId="167" fontId="5" fillId="0" borderId="2" xfId="4" applyNumberFormat="1" applyFont="1" applyBorder="1"/>
    <xf numFmtId="0" fontId="0" fillId="0" borderId="2" xfId="0" applyFont="1" applyFill="1" applyBorder="1" applyAlignment="1">
      <alignment horizontal="left" indent="2"/>
    </xf>
    <xf numFmtId="0" fontId="7" fillId="6" borderId="2" xfId="0" applyFont="1" applyFill="1" applyBorder="1"/>
    <xf numFmtId="171" fontId="11" fillId="6" borderId="2" xfId="1" applyNumberFormat="1" applyFont="1" applyFill="1" applyBorder="1"/>
    <xf numFmtId="171" fontId="0" fillId="6" borderId="2" xfId="0" applyNumberFormat="1" applyFill="1" applyBorder="1"/>
    <xf numFmtId="167" fontId="11" fillId="6" borderId="2" xfId="4" applyNumberFormat="1" applyFont="1" applyFill="1" applyBorder="1"/>
    <xf numFmtId="0" fontId="7" fillId="7" borderId="2" xfId="0" applyFont="1" applyFill="1" applyBorder="1"/>
    <xf numFmtId="171" fontId="11" fillId="7" borderId="2" xfId="1" applyNumberFormat="1" applyFont="1" applyFill="1" applyBorder="1"/>
    <xf numFmtId="171" fontId="0" fillId="7" borderId="2" xfId="0" applyNumberFormat="1" applyFill="1" applyBorder="1"/>
    <xf numFmtId="0" fontId="7" fillId="8" borderId="2" xfId="0" applyFont="1" applyFill="1" applyBorder="1"/>
    <xf numFmtId="173" fontId="0" fillId="8" borderId="2" xfId="0" applyNumberFormat="1" applyFill="1" applyBorder="1"/>
    <xf numFmtId="0" fontId="7" fillId="9" borderId="2" xfId="0" applyFont="1" applyFill="1" applyBorder="1"/>
    <xf numFmtId="171" fontId="0" fillId="9" borderId="2" xfId="0" applyNumberFormat="1" applyFill="1" applyBorder="1"/>
    <xf numFmtId="0" fontId="9" fillId="0" borderId="2" xfId="0" applyFont="1" applyFill="1" applyBorder="1" applyAlignment="1">
      <alignment horizontal="left" indent="2"/>
    </xf>
    <xf numFmtId="174" fontId="0" fillId="0" borderId="2" xfId="0" applyNumberFormat="1" applyBorder="1"/>
    <xf numFmtId="174" fontId="0" fillId="0" borderId="3" xfId="0" applyNumberFormat="1" applyBorder="1"/>
    <xf numFmtId="1" fontId="0" fillId="0" borderId="2" xfId="0" applyNumberFormat="1" applyBorder="1"/>
    <xf numFmtId="168" fontId="0" fillId="0" borderId="2" xfId="0" applyNumberFormat="1" applyBorder="1"/>
    <xf numFmtId="0" fontId="18" fillId="0" borderId="0" xfId="3"/>
    <xf numFmtId="0" fontId="0" fillId="6" borderId="2" xfId="0" applyFill="1" applyBorder="1"/>
    <xf numFmtId="0" fontId="0" fillId="10" borderId="2" xfId="0" applyFill="1" applyBorder="1"/>
    <xf numFmtId="0" fontId="0" fillId="11" borderId="2" xfId="0" applyFill="1" applyBorder="1"/>
    <xf numFmtId="168" fontId="0" fillId="6" borderId="2" xfId="0" applyNumberFormat="1" applyFill="1" applyBorder="1"/>
    <xf numFmtId="0" fontId="18" fillId="0" borderId="2" xfId="3" applyBorder="1"/>
    <xf numFmtId="172" fontId="18" fillId="0" borderId="2" xfId="1" applyNumberFormat="1" applyFont="1" applyBorder="1"/>
    <xf numFmtId="0" fontId="18" fillId="0" borderId="4" xfId="3" applyBorder="1"/>
    <xf numFmtId="172" fontId="18" fillId="0" borderId="4" xfId="1" applyNumberFormat="1" applyFont="1" applyBorder="1"/>
    <xf numFmtId="168" fontId="0" fillId="0" borderId="0" xfId="0" applyNumberFormat="1" applyBorder="1"/>
    <xf numFmtId="0" fontId="0" fillId="0" borderId="0" xfId="0" applyFont="1" applyFill="1" applyBorder="1"/>
    <xf numFmtId="0" fontId="0" fillId="0" borderId="2" xfId="0" applyFont="1" applyFill="1" applyBorder="1"/>
    <xf numFmtId="0" fontId="6" fillId="0" borderId="2" xfId="0" applyFont="1" applyBorder="1"/>
    <xf numFmtId="167" fontId="0" fillId="0" borderId="2" xfId="4" applyNumberFormat="1" applyFont="1" applyBorder="1"/>
    <xf numFmtId="170" fontId="0" fillId="0" borderId="2" xfId="1" applyNumberFormat="1" applyFont="1" applyBorder="1"/>
    <xf numFmtId="0" fontId="5" fillId="0" borderId="2" xfId="0" applyFont="1" applyFill="1" applyBorder="1"/>
    <xf numFmtId="0" fontId="12" fillId="0" borderId="0" xfId="0" applyFont="1"/>
    <xf numFmtId="10" fontId="0" fillId="0" borderId="0" xfId="4" applyNumberFormat="1" applyFont="1"/>
    <xf numFmtId="0" fontId="0" fillId="7" borderId="2" xfId="0" applyFill="1" applyBorder="1"/>
    <xf numFmtId="171" fontId="11" fillId="7" borderId="2" xfId="1" applyNumberFormat="1" applyFont="1" applyFill="1" applyBorder="1"/>
    <xf numFmtId="173" fontId="0" fillId="7" borderId="2" xfId="0" applyNumberFormat="1" applyFill="1" applyBorder="1"/>
    <xf numFmtId="175" fontId="0" fillId="0" borderId="2" xfId="2" applyNumberFormat="1" applyFont="1" applyBorder="1"/>
    <xf numFmtId="171" fontId="13" fillId="5" borderId="2" xfId="1" applyNumberFormat="1" applyFont="1" applyFill="1" applyBorder="1"/>
    <xf numFmtId="0" fontId="7" fillId="12" borderId="2" xfId="0" applyFont="1" applyFill="1" applyBorder="1"/>
    <xf numFmtId="171" fontId="11" fillId="12" borderId="2" xfId="1" applyNumberFormat="1" applyFont="1" applyFill="1" applyBorder="1"/>
    <xf numFmtId="173" fontId="0" fillId="12" borderId="2" xfId="0" applyNumberFormat="1" applyFill="1" applyBorder="1"/>
    <xf numFmtId="167" fontId="13" fillId="5" borderId="2" xfId="4" applyNumberFormat="1" applyFont="1" applyFill="1" applyBorder="1"/>
    <xf numFmtId="9" fontId="0" fillId="0" borderId="0" xfId="0" applyNumberFormat="1"/>
    <xf numFmtId="167" fontId="13" fillId="5" borderId="2" xfId="4" applyNumberFormat="1" applyFont="1" applyFill="1" applyBorder="1" applyAlignment="1">
      <alignment horizontal="center"/>
    </xf>
    <xf numFmtId="0" fontId="0" fillId="4" borderId="2" xfId="0" applyFill="1" applyBorder="1"/>
    <xf numFmtId="171" fontId="11" fillId="4" borderId="2" xfId="1" applyNumberFormat="1" applyFont="1" applyFill="1" applyBorder="1"/>
    <xf numFmtId="10" fontId="11" fillId="4" borderId="2" xfId="4" applyNumberFormat="1" applyFont="1" applyFill="1" applyBorder="1"/>
    <xf numFmtId="167" fontId="11" fillId="4" borderId="2" xfId="4" applyNumberFormat="1" applyFont="1" applyFill="1" applyBorder="1"/>
    <xf numFmtId="9" fontId="11" fillId="4" borderId="2" xfId="4" applyFont="1" applyFill="1" applyBorder="1"/>
    <xf numFmtId="164" fontId="11" fillId="4" borderId="2" xfId="2" applyFont="1" applyFill="1" applyBorder="1"/>
    <xf numFmtId="168" fontId="0" fillId="5" borderId="2" xfId="0" applyNumberFormat="1" applyFill="1" applyBorder="1"/>
    <xf numFmtId="1" fontId="0" fillId="5" borderId="2" xfId="0" applyNumberFormat="1" applyFill="1" applyBorder="1"/>
    <xf numFmtId="0" fontId="9" fillId="0" borderId="0" xfId="0" applyFont="1"/>
    <xf numFmtId="165" fontId="7" fillId="4" borderId="2" xfId="1" applyNumberFormat="1" applyFont="1" applyFill="1" applyBorder="1"/>
    <xf numFmtId="0" fontId="14" fillId="0" borderId="0" xfId="0" applyFont="1" applyFill="1" applyBorder="1"/>
    <xf numFmtId="0" fontId="9" fillId="0" borderId="0" xfId="0" applyFont="1" applyFill="1" applyBorder="1"/>
    <xf numFmtId="0" fontId="7" fillId="0" borderId="2" xfId="0" applyFont="1" applyBorder="1" applyAlignment="1">
      <alignment horizontal="center" vertical="center" wrapText="1"/>
    </xf>
    <xf numFmtId="167" fontId="17" fillId="5" borderId="2" xfId="4" applyNumberFormat="1" applyFont="1" applyFill="1" applyBorder="1" applyAlignment="1">
      <alignment horizontal="center"/>
    </xf>
    <xf numFmtId="0" fontId="0" fillId="5" borderId="2" xfId="0" applyFill="1" applyBorder="1"/>
    <xf numFmtId="9" fontId="17" fillId="5" borderId="2" xfId="4" applyFont="1" applyFill="1" applyBorder="1"/>
    <xf numFmtId="9" fontId="17" fillId="5" borderId="2" xfId="4" applyNumberFormat="1" applyFont="1" applyFill="1" applyBorder="1"/>
    <xf numFmtId="167" fontId="17" fillId="5" borderId="2" xfId="4" applyNumberFormat="1" applyFont="1" applyFill="1" applyBorder="1"/>
    <xf numFmtId="171" fontId="17" fillId="5" borderId="2" xfId="1" applyNumberFormat="1" applyFont="1" applyFill="1" applyBorder="1"/>
    <xf numFmtId="175" fontId="17" fillId="5" borderId="2" xfId="2" applyNumberFormat="1" applyFont="1" applyFill="1" applyBorder="1"/>
    <xf numFmtId="3" fontId="0" fillId="5" borderId="2" xfId="0" applyNumberFormat="1" applyFill="1" applyBorder="1"/>
    <xf numFmtId="0" fontId="7" fillId="13" borderId="2" xfId="0" applyFont="1" applyFill="1" applyBorder="1"/>
    <xf numFmtId="0" fontId="0" fillId="13" borderId="2" xfId="0" applyFill="1" applyBorder="1"/>
    <xf numFmtId="166" fontId="0" fillId="13" borderId="2" xfId="0" applyNumberFormat="1" applyFill="1" applyBorder="1"/>
    <xf numFmtId="0" fontId="5" fillId="7" borderId="2" xfId="0" applyFont="1" applyFill="1" applyBorder="1"/>
    <xf numFmtId="172" fontId="0" fillId="0" borderId="0" xfId="0" applyNumberFormat="1"/>
    <xf numFmtId="173" fontId="0" fillId="0" borderId="0" xfId="0" applyNumberFormat="1"/>
    <xf numFmtId="167" fontId="17" fillId="2" borderId="11" xfId="4" applyNumberFormat="1" applyFont="1" applyFill="1" applyBorder="1"/>
    <xf numFmtId="9" fontId="11" fillId="4" borderId="8" xfId="4" applyFont="1" applyFill="1" applyBorder="1"/>
    <xf numFmtId="0" fontId="7" fillId="0" borderId="0" xfId="0" applyFont="1" applyAlignment="1">
      <alignment horizontal="center" vertical="center" wrapText="1"/>
    </xf>
    <xf numFmtId="0" fontId="0" fillId="0" borderId="0" xfId="0" applyAlignment="1">
      <alignment horizontal="center" vertical="center" wrapText="1"/>
    </xf>
    <xf numFmtId="10" fontId="11" fillId="4" borderId="8" xfId="4" applyNumberFormat="1" applyFont="1" applyFill="1" applyBorder="1"/>
    <xf numFmtId="9" fontId="7" fillId="4" borderId="8" xfId="4" applyFont="1" applyFill="1" applyBorder="1"/>
    <xf numFmtId="165" fontId="7" fillId="4" borderId="8" xfId="1" applyNumberFormat="1" applyFont="1" applyFill="1" applyBorder="1"/>
    <xf numFmtId="0" fontId="7" fillId="15" borderId="7" xfId="0" applyFont="1" applyFill="1" applyBorder="1"/>
    <xf numFmtId="0" fontId="7" fillId="12" borderId="7" xfId="0" applyFont="1" applyFill="1" applyBorder="1"/>
    <xf numFmtId="0" fontId="9" fillId="14" borderId="7" xfId="0" applyFont="1" applyFill="1" applyBorder="1" applyAlignment="1">
      <alignment vertical="center"/>
    </xf>
    <xf numFmtId="0" fontId="7" fillId="14" borderId="7" xfId="0" applyFont="1" applyFill="1" applyBorder="1"/>
    <xf numFmtId="0" fontId="7" fillId="14" borderId="9" xfId="0" applyFont="1" applyFill="1" applyBorder="1"/>
    <xf numFmtId="0" fontId="5" fillId="14" borderId="2"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7" fillId="15" borderId="9" xfId="0" applyFont="1" applyFill="1" applyBorder="1"/>
    <xf numFmtId="0" fontId="5" fillId="6" borderId="7" xfId="0" applyFont="1" applyFill="1" applyBorder="1"/>
    <xf numFmtId="0" fontId="0" fillId="6" borderId="3" xfId="0" applyFill="1" applyBorder="1"/>
    <xf numFmtId="0" fontId="0" fillId="6" borderId="15" xfId="0" applyFill="1" applyBorder="1"/>
    <xf numFmtId="0" fontId="7" fillId="6" borderId="7" xfId="0" applyFont="1" applyFill="1" applyBorder="1"/>
    <xf numFmtId="0" fontId="7" fillId="6" borderId="9" xfId="0" applyFont="1" applyFill="1" applyBorder="1"/>
    <xf numFmtId="0" fontId="5" fillId="0" borderId="0" xfId="0" applyFont="1" applyFill="1" applyBorder="1" applyAlignment="1">
      <alignment horizontal="center" vertical="center" wrapText="1"/>
    </xf>
    <xf numFmtId="167" fontId="0" fillId="0" borderId="0" xfId="4" applyNumberFormat="1" applyFont="1" applyFill="1" applyBorder="1"/>
    <xf numFmtId="0" fontId="0" fillId="0" borderId="0" xfId="0" applyFill="1" applyBorder="1"/>
    <xf numFmtId="175" fontId="0" fillId="0" borderId="0" xfId="2" applyNumberFormat="1" applyFont="1" applyFill="1" applyBorder="1"/>
    <xf numFmtId="175" fontId="17" fillId="4" borderId="8" xfId="2" applyNumberFormat="1" applyFont="1" applyFill="1" applyBorder="1"/>
    <xf numFmtId="0" fontId="7" fillId="15" borderId="2"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2" borderId="5" xfId="0" applyFont="1" applyFill="1" applyBorder="1" applyAlignment="1">
      <alignment horizontal="center"/>
    </xf>
    <xf numFmtId="0" fontId="7" fillId="12" borderId="6" xfId="0" applyFont="1" applyFill="1" applyBorder="1" applyAlignment="1">
      <alignment horizontal="center"/>
    </xf>
    <xf numFmtId="171" fontId="17" fillId="5" borderId="2" xfId="1" applyNumberFormat="1" applyFont="1" applyFill="1" applyBorder="1"/>
    <xf numFmtId="0" fontId="10" fillId="15" borderId="7" xfId="0" applyFont="1" applyFill="1" applyBorder="1" applyAlignment="1">
      <alignment horizontal="center" vertical="center"/>
    </xf>
    <xf numFmtId="175" fontId="0" fillId="0" borderId="0" xfId="0" applyNumberFormat="1"/>
    <xf numFmtId="0" fontId="7" fillId="15" borderId="2" xfId="0" applyFont="1" applyFill="1" applyBorder="1"/>
    <xf numFmtId="0" fontId="5" fillId="15" borderId="6" xfId="0" applyFont="1" applyFill="1" applyBorder="1" applyAlignment="1">
      <alignment horizontal="center"/>
    </xf>
    <xf numFmtId="0" fontId="7" fillId="15" borderId="8" xfId="0" applyFont="1" applyFill="1" applyBorder="1"/>
    <xf numFmtId="0" fontId="0" fillId="16" borderId="8" xfId="0" applyFill="1" applyBorder="1"/>
    <xf numFmtId="175" fontId="5" fillId="4" borderId="8" xfId="2" applyNumberFormat="1" applyFont="1" applyFill="1" applyBorder="1"/>
    <xf numFmtId="171" fontId="0" fillId="4" borderId="8" xfId="1" applyNumberFormat="1" applyFont="1" applyFill="1" applyBorder="1"/>
    <xf numFmtId="2" fontId="0" fillId="0" borderId="0" xfId="0" applyNumberFormat="1"/>
    <xf numFmtId="0" fontId="0" fillId="0" borderId="30" xfId="0" applyBorder="1"/>
    <xf numFmtId="0" fontId="0" fillId="15" borderId="14" xfId="0" applyFill="1" applyBorder="1"/>
    <xf numFmtId="0" fontId="0" fillId="15" borderId="2" xfId="0" applyFill="1" applyBorder="1"/>
    <xf numFmtId="0" fontId="12" fillId="16" borderId="2" xfId="0" applyFont="1" applyFill="1" applyBorder="1" applyAlignment="1">
      <alignment horizontal="center" vertical="center" wrapText="1"/>
    </xf>
    <xf numFmtId="0" fontId="9" fillId="16" borderId="2" xfId="0" applyFont="1" applyFill="1" applyBorder="1"/>
    <xf numFmtId="0" fontId="7" fillId="16" borderId="2" xfId="0" applyFont="1" applyFill="1" applyBorder="1"/>
    <xf numFmtId="0" fontId="6" fillId="15" borderId="12" xfId="0" applyFont="1" applyFill="1" applyBorder="1" applyAlignment="1">
      <alignment horizontal="center" vertical="center" wrapText="1"/>
    </xf>
    <xf numFmtId="0" fontId="6" fillId="15" borderId="6" xfId="0" applyFont="1" applyFill="1" applyBorder="1" applyAlignment="1">
      <alignment horizontal="center" vertical="center" wrapText="1"/>
    </xf>
    <xf numFmtId="0" fontId="4" fillId="15" borderId="7" xfId="0" applyFont="1" applyFill="1" applyBorder="1"/>
    <xf numFmtId="0" fontId="6" fillId="15" borderId="9" xfId="0" applyFont="1" applyFill="1" applyBorder="1"/>
    <xf numFmtId="0" fontId="4" fillId="15" borderId="13" xfId="0" applyFont="1" applyFill="1" applyBorder="1"/>
    <xf numFmtId="0" fontId="4" fillId="16" borderId="12" xfId="0" applyFont="1" applyFill="1" applyBorder="1"/>
    <xf numFmtId="0" fontId="4" fillId="16" borderId="7" xfId="0" applyFont="1" applyFill="1" applyBorder="1"/>
    <xf numFmtId="0" fontId="4" fillId="16" borderId="9" xfId="0" applyFont="1" applyFill="1" applyBorder="1"/>
    <xf numFmtId="171" fontId="4" fillId="16" borderId="11" xfId="0" applyNumberFormat="1" applyFont="1" applyFill="1" applyBorder="1"/>
    <xf numFmtId="0" fontId="7" fillId="16" borderId="2" xfId="0" applyFont="1" applyFill="1" applyBorder="1" applyAlignment="1">
      <alignment horizontal="left" vertical="center"/>
    </xf>
    <xf numFmtId="0" fontId="5" fillId="16" borderId="2" xfId="0" applyFont="1" applyFill="1" applyBorder="1" applyAlignment="1">
      <alignment horizontal="left" vertical="center"/>
    </xf>
    <xf numFmtId="0" fontId="5" fillId="16" borderId="2" xfId="0" applyFont="1" applyFill="1" applyBorder="1"/>
    <xf numFmtId="0" fontId="9" fillId="16" borderId="2" xfId="0" applyFont="1" applyFill="1" applyBorder="1" applyAlignment="1">
      <alignment horizontal="left" vertical="center"/>
    </xf>
    <xf numFmtId="0" fontId="10" fillId="0" borderId="0" xfId="0" applyFont="1" applyFill="1" applyBorder="1"/>
    <xf numFmtId="0" fontId="12" fillId="12" borderId="12" xfId="0" applyFont="1" applyFill="1" applyBorder="1" applyAlignment="1">
      <alignment horizontal="center"/>
    </xf>
    <xf numFmtId="166" fontId="4" fillId="16" borderId="8" xfId="0" applyNumberFormat="1" applyFont="1" applyFill="1" applyBorder="1"/>
    <xf numFmtId="175" fontId="4" fillId="15" borderId="8" xfId="2" applyNumberFormat="1" applyFont="1" applyFill="1" applyBorder="1"/>
    <xf numFmtId="175" fontId="6" fillId="15" borderId="11" xfId="2" applyNumberFormat="1" applyFont="1" applyFill="1" applyBorder="1"/>
    <xf numFmtId="175" fontId="4" fillId="16" borderId="6" xfId="2" applyNumberFormat="1" applyFont="1" applyFill="1" applyBorder="1"/>
    <xf numFmtId="171" fontId="4" fillId="16" borderId="8" xfId="1" applyNumberFormat="1" applyFont="1" applyFill="1" applyBorder="1"/>
    <xf numFmtId="9" fontId="11" fillId="6" borderId="2" xfId="4" applyFont="1" applyFill="1" applyBorder="1"/>
    <xf numFmtId="173" fontId="0" fillId="6" borderId="2" xfId="0" applyNumberFormat="1" applyFill="1" applyBorder="1"/>
    <xf numFmtId="0" fontId="5" fillId="15" borderId="2" xfId="0" applyFont="1" applyFill="1" applyBorder="1"/>
    <xf numFmtId="166" fontId="0" fillId="15" borderId="2" xfId="0" applyNumberFormat="1" applyFill="1" applyBorder="1"/>
    <xf numFmtId="0" fontId="7" fillId="18" borderId="2" xfId="0" applyFont="1" applyFill="1" applyBorder="1"/>
    <xf numFmtId="0" fontId="5" fillId="18" borderId="2" xfId="0" applyFont="1" applyFill="1" applyBorder="1"/>
    <xf numFmtId="171" fontId="0" fillId="18" borderId="2" xfId="1" applyNumberFormat="1" applyFont="1" applyFill="1" applyBorder="1"/>
    <xf numFmtId="0" fontId="9" fillId="15" borderId="0" xfId="0" applyFont="1" applyFill="1" applyBorder="1"/>
    <xf numFmtId="0" fontId="9" fillId="17" borderId="0" xfId="0" applyFont="1" applyFill="1" applyBorder="1"/>
    <xf numFmtId="0" fontId="7" fillId="17" borderId="2" xfId="0" applyFont="1" applyFill="1" applyBorder="1"/>
    <xf numFmtId="175" fontId="0" fillId="17" borderId="2" xfId="2" applyNumberFormat="1" applyFont="1" applyFill="1" applyBorder="1"/>
    <xf numFmtId="0" fontId="9" fillId="13" borderId="0" xfId="0" applyFont="1" applyFill="1" applyBorder="1"/>
    <xf numFmtId="0" fontId="9" fillId="7" borderId="0" xfId="0" applyFont="1" applyFill="1" applyBorder="1"/>
    <xf numFmtId="175" fontId="0" fillId="7" borderId="2" xfId="2" applyNumberFormat="1" applyFont="1" applyFill="1" applyBorder="1"/>
    <xf numFmtId="0" fontId="5" fillId="12" borderId="2" xfId="0" applyFont="1" applyFill="1" applyBorder="1"/>
    <xf numFmtId="0" fontId="5" fillId="17" borderId="2" xfId="0" applyFont="1" applyFill="1" applyBorder="1"/>
    <xf numFmtId="0" fontId="0" fillId="17" borderId="2" xfId="0" applyFill="1" applyBorder="1"/>
    <xf numFmtId="0" fontId="9" fillId="18" borderId="2" xfId="0" applyFont="1" applyFill="1" applyBorder="1"/>
    <xf numFmtId="0" fontId="9" fillId="7" borderId="2" xfId="0" applyFont="1" applyFill="1" applyBorder="1" applyAlignment="1">
      <alignment vertical="center"/>
    </xf>
    <xf numFmtId="0" fontId="0" fillId="16" borderId="2" xfId="0" applyFill="1" applyBorder="1"/>
    <xf numFmtId="171" fontId="0" fillId="16" borderId="2" xfId="1" applyNumberFormat="1" applyFont="1" applyFill="1" applyBorder="1"/>
    <xf numFmtId="171" fontId="5" fillId="17" borderId="2" xfId="1" applyNumberFormat="1" applyFont="1" applyFill="1" applyBorder="1"/>
    <xf numFmtId="171" fontId="5" fillId="17" borderId="2" xfId="0" applyNumberFormat="1" applyFont="1" applyFill="1" applyBorder="1"/>
    <xf numFmtId="0" fontId="0" fillId="18" borderId="2" xfId="0" applyFill="1" applyBorder="1"/>
    <xf numFmtId="171" fontId="17" fillId="18" borderId="2" xfId="1" applyNumberFormat="1" applyFont="1" applyFill="1" applyBorder="1"/>
    <xf numFmtId="171" fontId="0" fillId="7" borderId="2" xfId="1" applyNumberFormat="1" applyFont="1" applyFill="1" applyBorder="1"/>
    <xf numFmtId="0" fontId="0" fillId="12" borderId="2" xfId="0" applyFill="1" applyBorder="1"/>
    <xf numFmtId="0" fontId="5" fillId="13" borderId="2" xfId="0" applyFont="1" applyFill="1" applyBorder="1"/>
    <xf numFmtId="171" fontId="0" fillId="13" borderId="2" xfId="1" applyNumberFormat="1" applyFont="1" applyFill="1" applyBorder="1"/>
    <xf numFmtId="171" fontId="11" fillId="13" borderId="2" xfId="1" applyNumberFormat="1" applyFont="1" applyFill="1" applyBorder="1"/>
    <xf numFmtId="1" fontId="0" fillId="13" borderId="2" xfId="0" applyNumberFormat="1" applyFill="1" applyBorder="1"/>
    <xf numFmtId="0" fontId="5" fillId="19" borderId="2" xfId="0" applyFont="1" applyFill="1" applyBorder="1"/>
    <xf numFmtId="0" fontId="7" fillId="19" borderId="2" xfId="0" applyFont="1" applyFill="1" applyBorder="1"/>
    <xf numFmtId="9" fontId="0" fillId="19" borderId="2" xfId="4" applyFont="1" applyFill="1" applyBorder="1"/>
    <xf numFmtId="9" fontId="11" fillId="19" borderId="2" xfId="4" applyFont="1" applyFill="1" applyBorder="1"/>
    <xf numFmtId="0" fontId="5" fillId="20" borderId="2" xfId="0" applyFont="1" applyFill="1" applyBorder="1"/>
    <xf numFmtId="0" fontId="0" fillId="20" borderId="2" xfId="0" applyFill="1" applyBorder="1"/>
    <xf numFmtId="0" fontId="7" fillId="20" borderId="2" xfId="0" applyFont="1" applyFill="1" applyBorder="1"/>
    <xf numFmtId="171" fontId="0" fillId="20" borderId="2" xfId="1" applyNumberFormat="1" applyFont="1" applyFill="1" applyBorder="1"/>
    <xf numFmtId="171" fontId="11" fillId="20" borderId="2" xfId="1" applyNumberFormat="1" applyFont="1" applyFill="1" applyBorder="1"/>
    <xf numFmtId="0" fontId="5" fillId="21" borderId="2" xfId="0" applyFont="1" applyFill="1" applyBorder="1"/>
    <xf numFmtId="0" fontId="0" fillId="21" borderId="2" xfId="0" applyFill="1" applyBorder="1"/>
    <xf numFmtId="0" fontId="7" fillId="21" borderId="2" xfId="0" applyFont="1" applyFill="1" applyBorder="1"/>
    <xf numFmtId="171" fontId="11" fillId="21" borderId="2" xfId="1" applyNumberFormat="1" applyFont="1" applyFill="1" applyBorder="1"/>
    <xf numFmtId="0" fontId="5" fillId="22" borderId="2" xfId="0" applyFont="1" applyFill="1" applyBorder="1"/>
    <xf numFmtId="0" fontId="0" fillId="22" borderId="2" xfId="0" applyFill="1" applyBorder="1"/>
    <xf numFmtId="0" fontId="7" fillId="22" borderId="2" xfId="0" applyFont="1" applyFill="1" applyBorder="1"/>
    <xf numFmtId="167" fontId="0" fillId="22" borderId="2" xfId="4" applyNumberFormat="1" applyFont="1" applyFill="1" applyBorder="1"/>
    <xf numFmtId="170" fontId="0" fillId="12" borderId="2" xfId="1" applyNumberFormat="1" applyFont="1" applyFill="1" applyBorder="1"/>
    <xf numFmtId="171" fontId="0" fillId="12" borderId="2" xfId="1" applyNumberFormat="1" applyFont="1" applyFill="1" applyBorder="1"/>
    <xf numFmtId="171" fontId="0" fillId="17" borderId="2" xfId="1" applyNumberFormat="1" applyFont="1" applyFill="1" applyBorder="1"/>
    <xf numFmtId="171" fontId="11" fillId="17" borderId="2" xfId="1" applyNumberFormat="1" applyFont="1" applyFill="1" applyBorder="1"/>
    <xf numFmtId="0" fontId="0" fillId="0" borderId="2" xfId="0" applyFill="1" applyBorder="1"/>
    <xf numFmtId="1" fontId="0" fillId="15" borderId="0" xfId="0" applyNumberFormat="1" applyFill="1" applyBorder="1"/>
    <xf numFmtId="1" fontId="0" fillId="21" borderId="2" xfId="1" applyNumberFormat="1" applyFont="1" applyFill="1" applyBorder="1"/>
    <xf numFmtId="1" fontId="11" fillId="21" borderId="2" xfId="1" applyNumberFormat="1" applyFont="1" applyFill="1" applyBorder="1"/>
    <xf numFmtId="1" fontId="0" fillId="13" borderId="0" xfId="0" applyNumberFormat="1" applyFill="1" applyBorder="1"/>
    <xf numFmtId="1" fontId="0" fillId="17" borderId="0" xfId="0" applyNumberFormat="1" applyFill="1" applyBorder="1"/>
    <xf numFmtId="1" fontId="0" fillId="7" borderId="2" xfId="0" applyNumberFormat="1" applyFill="1" applyBorder="1"/>
    <xf numFmtId="171" fontId="17" fillId="2" borderId="8" xfId="1" applyNumberFormat="1" applyFont="1" applyFill="1" applyBorder="1" applyProtection="1">
      <protection locked="0"/>
    </xf>
    <xf numFmtId="175" fontId="17" fillId="2" borderId="8" xfId="2" applyNumberFormat="1" applyFont="1" applyFill="1" applyBorder="1" applyProtection="1">
      <protection locked="0"/>
    </xf>
    <xf numFmtId="0" fontId="0" fillId="2" borderId="8" xfId="0" applyFill="1" applyBorder="1" applyProtection="1">
      <protection locked="0"/>
    </xf>
    <xf numFmtId="175" fontId="0" fillId="2" borderId="8" xfId="2" applyNumberFormat="1" applyFont="1" applyFill="1" applyBorder="1" applyProtection="1">
      <protection locked="0"/>
    </xf>
    <xf numFmtId="167" fontId="17" fillId="2" borderId="2" xfId="4" applyNumberFormat="1" applyFont="1" applyFill="1" applyBorder="1" applyProtection="1">
      <protection locked="0"/>
    </xf>
    <xf numFmtId="167" fontId="17" fillId="2" borderId="8" xfId="4" applyNumberFormat="1" applyFont="1" applyFill="1" applyBorder="1" applyProtection="1">
      <protection locked="0"/>
    </xf>
    <xf numFmtId="0" fontId="0" fillId="2" borderId="2" xfId="0" applyFill="1" applyBorder="1" applyProtection="1">
      <protection locked="0"/>
    </xf>
    <xf numFmtId="175" fontId="17" fillId="2" borderId="2" xfId="2" applyNumberFormat="1" applyFont="1" applyFill="1" applyBorder="1" applyProtection="1">
      <protection locked="0"/>
    </xf>
    <xf numFmtId="9" fontId="17" fillId="2" borderId="10" xfId="4" applyFont="1" applyFill="1" applyBorder="1" applyProtection="1">
      <protection locked="0"/>
    </xf>
    <xf numFmtId="9" fontId="17" fillId="2" borderId="11" xfId="4" applyFont="1" applyFill="1" applyBorder="1" applyProtection="1">
      <protection locked="0"/>
    </xf>
    <xf numFmtId="3" fontId="0" fillId="2" borderId="2" xfId="0" applyNumberFormat="1" applyFill="1" applyBorder="1" applyProtection="1">
      <protection locked="0"/>
    </xf>
    <xf numFmtId="3" fontId="0" fillId="2" borderId="8" xfId="0" applyNumberFormat="1" applyFill="1" applyBorder="1" applyProtection="1">
      <protection locked="0"/>
    </xf>
    <xf numFmtId="167" fontId="17" fillId="2" borderId="10" xfId="4" applyNumberFormat="1" applyFont="1" applyFill="1" applyBorder="1" applyProtection="1">
      <protection locked="0"/>
    </xf>
    <xf numFmtId="167" fontId="17" fillId="2" borderId="11" xfId="4" applyNumberFormat="1" applyFont="1" applyFill="1" applyBorder="1" applyProtection="1">
      <protection locked="0"/>
    </xf>
    <xf numFmtId="171" fontId="11" fillId="2" borderId="8" xfId="1" applyNumberFormat="1" applyFont="1" applyFill="1" applyBorder="1" applyProtection="1">
      <protection locked="0"/>
    </xf>
    <xf numFmtId="167" fontId="11" fillId="2" borderId="8" xfId="4" applyNumberFormat="1" applyFont="1" applyFill="1" applyBorder="1" applyProtection="1">
      <protection locked="0"/>
    </xf>
    <xf numFmtId="164" fontId="11" fillId="2" borderId="8" xfId="2" applyFont="1" applyFill="1" applyBorder="1" applyProtection="1">
      <protection locked="0"/>
    </xf>
    <xf numFmtId="164" fontId="13" fillId="2" borderId="8" xfId="2" applyFont="1" applyFill="1" applyBorder="1" applyProtection="1">
      <protection locked="0"/>
    </xf>
    <xf numFmtId="165" fontId="13" fillId="2" borderId="8" xfId="1" applyFont="1" applyFill="1" applyBorder="1" applyProtection="1">
      <protection locked="0"/>
    </xf>
    <xf numFmtId="9" fontId="11" fillId="2" borderId="2" xfId="4" applyFont="1" applyFill="1" applyBorder="1" applyProtection="1">
      <protection locked="0"/>
    </xf>
    <xf numFmtId="9" fontId="7" fillId="2" borderId="2" xfId="4" applyFont="1" applyFill="1" applyBorder="1" applyProtection="1">
      <protection locked="0"/>
    </xf>
    <xf numFmtId="9" fontId="7" fillId="2" borderId="8" xfId="4" applyFont="1" applyFill="1" applyBorder="1" applyProtection="1">
      <protection locked="0"/>
    </xf>
    <xf numFmtId="9" fontId="11" fillId="2" borderId="8" xfId="4" applyFont="1" applyFill="1" applyBorder="1" applyProtection="1">
      <protection locked="0"/>
    </xf>
    <xf numFmtId="171" fontId="0" fillId="23" borderId="2" xfId="1" applyNumberFormat="1" applyFont="1" applyFill="1" applyBorder="1"/>
    <xf numFmtId="0" fontId="7" fillId="6" borderId="32" xfId="0" applyFont="1" applyFill="1" applyBorder="1"/>
    <xf numFmtId="9" fontId="11" fillId="2" borderId="4" xfId="4" applyFont="1" applyFill="1" applyBorder="1" applyProtection="1">
      <protection locked="0"/>
    </xf>
    <xf numFmtId="9" fontId="5" fillId="2" borderId="10" xfId="4" applyFont="1" applyFill="1" applyBorder="1" applyProtection="1">
      <protection locked="0"/>
    </xf>
    <xf numFmtId="9" fontId="5" fillId="2" borderId="11" xfId="4" applyFont="1" applyFill="1" applyBorder="1" applyProtection="1">
      <protection locked="0"/>
    </xf>
    <xf numFmtId="171" fontId="0" fillId="2" borderId="0" xfId="1" applyNumberFormat="1" applyFont="1" applyFill="1" applyProtection="1">
      <protection locked="0"/>
    </xf>
    <xf numFmtId="9" fontId="11" fillId="4" borderId="33" xfId="4" applyFont="1" applyFill="1" applyBorder="1"/>
    <xf numFmtId="175" fontId="5" fillId="4" borderId="4" xfId="2" applyNumberFormat="1" applyFont="1" applyFill="1" applyBorder="1"/>
    <xf numFmtId="0" fontId="6" fillId="17" borderId="17" xfId="0" applyFont="1" applyFill="1" applyBorder="1"/>
    <xf numFmtId="0" fontId="6" fillId="17" borderId="18" xfId="0" applyFont="1" applyFill="1" applyBorder="1"/>
    <xf numFmtId="0" fontId="6" fillId="17" borderId="19" xfId="0" applyFont="1" applyFill="1" applyBorder="1"/>
    <xf numFmtId="175" fontId="0" fillId="2" borderId="34" xfId="2" applyNumberFormat="1" applyFont="1" applyFill="1" applyBorder="1" applyProtection="1">
      <protection locked="0"/>
    </xf>
    <xf numFmtId="2" fontId="22" fillId="0" borderId="0" xfId="0" applyNumberFormat="1" applyFont="1"/>
    <xf numFmtId="1" fontId="23" fillId="0" borderId="0" xfId="0" applyNumberFormat="1" applyFont="1" applyAlignment="1">
      <alignment horizontal="left" indent="2"/>
    </xf>
    <xf numFmtId="2" fontId="5" fillId="0" borderId="0" xfId="0" applyNumberFormat="1" applyFont="1"/>
    <xf numFmtId="0" fontId="5" fillId="0" borderId="0" xfId="0" applyFont="1"/>
    <xf numFmtId="166" fontId="5" fillId="0" borderId="0" xfId="0" applyNumberFormat="1" applyFont="1"/>
    <xf numFmtId="0" fontId="24" fillId="0" borderId="0" xfId="0" applyFont="1" applyAlignment="1">
      <alignment horizontal="left" indent="1"/>
    </xf>
    <xf numFmtId="0" fontId="7" fillId="0" borderId="0" xfId="0" applyFont="1" applyAlignment="1">
      <alignment horizontal="right"/>
    </xf>
    <xf numFmtId="171" fontId="13" fillId="2" borderId="27" xfId="1" applyNumberFormat="1" applyFont="1" applyFill="1" applyBorder="1" applyProtection="1">
      <protection locked="0"/>
    </xf>
    <xf numFmtId="175" fontId="0" fillId="4" borderId="35" xfId="2" applyNumberFormat="1" applyFont="1" applyFill="1" applyBorder="1"/>
    <xf numFmtId="171" fontId="5" fillId="15" borderId="2" xfId="1" applyNumberFormat="1" applyFont="1" applyFill="1" applyBorder="1"/>
    <xf numFmtId="9" fontId="0" fillId="0" borderId="0" xfId="0" applyNumberFormat="1" applyFill="1" applyBorder="1"/>
    <xf numFmtId="9" fontId="11" fillId="2" borderId="36" xfId="4" applyFont="1" applyFill="1" applyBorder="1" applyProtection="1">
      <protection locked="0"/>
    </xf>
    <xf numFmtId="0" fontId="12" fillId="15" borderId="3" xfId="0" applyFont="1" applyFill="1" applyBorder="1" applyAlignment="1">
      <alignment horizontal="center" vertical="center" wrapText="1"/>
    </xf>
    <xf numFmtId="9" fontId="0" fillId="2" borderId="2" xfId="4" applyFont="1" applyFill="1" applyBorder="1" applyProtection="1">
      <protection locked="0"/>
    </xf>
    <xf numFmtId="0" fontId="7" fillId="17" borderId="2" xfId="0" applyFont="1" applyFill="1" applyBorder="1"/>
    <xf numFmtId="0" fontId="5" fillId="16" borderId="2" xfId="0" applyFont="1" applyFill="1" applyBorder="1"/>
    <xf numFmtId="0" fontId="5" fillId="0" borderId="2" xfId="0" applyFont="1" applyFill="1" applyBorder="1" applyAlignment="1">
      <alignment horizontal="left" indent="2"/>
    </xf>
    <xf numFmtId="0" fontId="6" fillId="22" borderId="17" xfId="0" applyFont="1" applyFill="1" applyBorder="1"/>
    <xf numFmtId="0" fontId="6" fillId="22" borderId="18" xfId="0" applyFont="1" applyFill="1" applyBorder="1"/>
    <xf numFmtId="0" fontId="7" fillId="22" borderId="2" xfId="0" applyFont="1" applyFill="1" applyBorder="1"/>
    <xf numFmtId="0" fontId="7" fillId="22" borderId="4" xfId="0" applyFont="1" applyFill="1" applyBorder="1"/>
    <xf numFmtId="0" fontId="6" fillId="22" borderId="19" xfId="0" applyFont="1" applyFill="1" applyBorder="1"/>
    <xf numFmtId="0" fontId="6" fillId="22" borderId="2" xfId="0" applyFont="1" applyFill="1" applyBorder="1"/>
    <xf numFmtId="171" fontId="5" fillId="22" borderId="2" xfId="0" applyNumberFormat="1" applyFont="1" applyFill="1" applyBorder="1"/>
    <xf numFmtId="175" fontId="0" fillId="4" borderId="34" xfId="2" applyNumberFormat="1" applyFont="1" applyFill="1" applyBorder="1"/>
    <xf numFmtId="171" fontId="0" fillId="2" borderId="2" xfId="1" applyNumberFormat="1" applyFont="1" applyFill="1" applyBorder="1" applyProtection="1">
      <protection locked="0"/>
    </xf>
    <xf numFmtId="0" fontId="6" fillId="17" borderId="2" xfId="0" applyFont="1" applyFill="1" applyBorder="1"/>
    <xf numFmtId="0" fontId="1" fillId="0" borderId="2" xfId="3" applyFont="1" applyBorder="1"/>
    <xf numFmtId="167" fontId="0" fillId="5" borderId="2" xfId="4" applyNumberFormat="1" applyFont="1" applyFill="1" applyBorder="1"/>
    <xf numFmtId="9" fontId="0" fillId="5" borderId="2" xfId="4" applyFont="1" applyFill="1" applyBorder="1"/>
    <xf numFmtId="0" fontId="4" fillId="24" borderId="14" xfId="0" applyFont="1" applyFill="1" applyBorder="1"/>
    <xf numFmtId="0" fontId="4" fillId="24" borderId="2" xfId="0" applyFont="1" applyFill="1" applyBorder="1"/>
    <xf numFmtId="0" fontId="4" fillId="24" borderId="0" xfId="0" applyFont="1" applyFill="1"/>
    <xf numFmtId="173" fontId="4" fillId="24" borderId="2" xfId="0" applyNumberFormat="1" applyFont="1" applyFill="1" applyBorder="1"/>
    <xf numFmtId="171" fontId="4" fillId="24" borderId="2" xfId="1" applyNumberFormat="1" applyFont="1" applyFill="1" applyBorder="1"/>
    <xf numFmtId="43" fontId="4" fillId="24" borderId="2" xfId="0" applyNumberFormat="1" applyFont="1" applyFill="1" applyBorder="1"/>
    <xf numFmtId="171" fontId="4" fillId="24" borderId="2" xfId="0" applyNumberFormat="1" applyFont="1" applyFill="1" applyBorder="1"/>
    <xf numFmtId="0" fontId="10" fillId="24" borderId="14" xfId="0" applyFont="1" applyFill="1" applyBorder="1"/>
    <xf numFmtId="0" fontId="10" fillId="24" borderId="2" xfId="0" applyFont="1" applyFill="1" applyBorder="1"/>
    <xf numFmtId="0" fontId="10" fillId="24" borderId="0" xfId="0" applyFont="1" applyFill="1"/>
    <xf numFmtId="173" fontId="10" fillId="24" borderId="2" xfId="0" applyNumberFormat="1" applyFont="1" applyFill="1" applyBorder="1"/>
    <xf numFmtId="171" fontId="10" fillId="24" borderId="2" xfId="1" applyNumberFormat="1" applyFont="1" applyFill="1" applyBorder="1"/>
    <xf numFmtId="43" fontId="10" fillId="24" borderId="2" xfId="0" applyNumberFormat="1" applyFont="1" applyFill="1" applyBorder="1"/>
    <xf numFmtId="171" fontId="10" fillId="24" borderId="2" xfId="0" applyNumberFormat="1" applyFont="1" applyFill="1" applyBorder="1"/>
    <xf numFmtId="166" fontId="5" fillId="15" borderId="2" xfId="0" applyNumberFormat="1" applyFont="1" applyFill="1" applyBorder="1"/>
    <xf numFmtId="175" fontId="5" fillId="17" borderId="2" xfId="2" applyNumberFormat="1" applyFont="1" applyFill="1" applyBorder="1"/>
    <xf numFmtId="166" fontId="5" fillId="13" borderId="2" xfId="0" applyNumberFormat="1" applyFont="1" applyFill="1" applyBorder="1"/>
    <xf numFmtId="0" fontId="7" fillId="23" borderId="2" xfId="0" applyFont="1" applyFill="1" applyBorder="1"/>
    <xf numFmtId="2" fontId="0" fillId="20" borderId="2" xfId="0" applyNumberFormat="1" applyFill="1" applyBorder="1"/>
    <xf numFmtId="0" fontId="7" fillId="20" borderId="12" xfId="0" applyFont="1" applyFill="1" applyBorder="1"/>
    <xf numFmtId="0" fontId="7" fillId="20" borderId="7" xfId="0" applyFont="1" applyFill="1" applyBorder="1"/>
    <xf numFmtId="0" fontId="7" fillId="20" borderId="9" xfId="0" applyFont="1" applyFill="1" applyBorder="1"/>
    <xf numFmtId="2" fontId="0" fillId="20" borderId="5" xfId="0" applyNumberFormat="1" applyFill="1" applyBorder="1"/>
    <xf numFmtId="2" fontId="0" fillId="20" borderId="6" xfId="0" applyNumberFormat="1" applyFill="1" applyBorder="1"/>
    <xf numFmtId="2" fontId="0" fillId="20" borderId="8" xfId="0" applyNumberFormat="1" applyFill="1" applyBorder="1"/>
    <xf numFmtId="2" fontId="0" fillId="20" borderId="10" xfId="0" applyNumberFormat="1" applyFill="1" applyBorder="1"/>
    <xf numFmtId="2" fontId="0" fillId="20" borderId="11" xfId="0" applyNumberFormat="1" applyFill="1" applyBorder="1"/>
    <xf numFmtId="0" fontId="5" fillId="20" borderId="37" xfId="0" applyFont="1" applyFill="1" applyBorder="1"/>
    <xf numFmtId="0" fontId="0" fillId="20" borderId="38" xfId="0" applyFill="1" applyBorder="1"/>
    <xf numFmtId="0" fontId="0" fillId="20" borderId="39" xfId="0" applyFill="1" applyBorder="1"/>
    <xf numFmtId="165" fontId="11" fillId="20" borderId="5" xfId="1" applyNumberFormat="1" applyFont="1" applyFill="1" applyBorder="1"/>
    <xf numFmtId="165" fontId="11" fillId="20" borderId="2" xfId="1" applyNumberFormat="1" applyFont="1" applyFill="1" applyBorder="1"/>
    <xf numFmtId="165" fontId="11" fillId="20" borderId="10" xfId="1" applyNumberFormat="1" applyFont="1" applyFill="1" applyBorder="1"/>
    <xf numFmtId="165" fontId="0" fillId="5" borderId="6" xfId="1" applyNumberFormat="1" applyFont="1" applyFill="1" applyBorder="1"/>
    <xf numFmtId="165" fontId="0" fillId="5" borderId="8" xfId="1" applyNumberFormat="1" applyFont="1" applyFill="1" applyBorder="1"/>
    <xf numFmtId="165" fontId="0" fillId="5" borderId="11" xfId="1" applyNumberFormat="1" applyFont="1" applyFill="1" applyBorder="1"/>
    <xf numFmtId="165" fontId="0" fillId="5" borderId="5" xfId="1" applyNumberFormat="1" applyFont="1" applyFill="1" applyBorder="1"/>
    <xf numFmtId="165" fontId="0" fillId="5" borderId="2" xfId="1" applyNumberFormat="1" applyFont="1" applyFill="1" applyBorder="1"/>
    <xf numFmtId="165" fontId="0" fillId="5" borderId="10" xfId="1" applyNumberFormat="1" applyFont="1" applyFill="1" applyBorder="1"/>
    <xf numFmtId="171" fontId="5" fillId="20" borderId="2" xfId="1" applyNumberFormat="1" applyFont="1" applyFill="1" applyBorder="1"/>
    <xf numFmtId="0" fontId="6" fillId="24" borderId="14" xfId="0" applyFont="1" applyFill="1" applyBorder="1"/>
    <xf numFmtId="0" fontId="6" fillId="24" borderId="2" xfId="0" applyFont="1" applyFill="1" applyBorder="1"/>
    <xf numFmtId="0" fontId="6" fillId="24" borderId="0" xfId="0" applyFont="1" applyFill="1"/>
    <xf numFmtId="173" fontId="6" fillId="24" borderId="2" xfId="0" applyNumberFormat="1" applyFont="1" applyFill="1" applyBorder="1"/>
    <xf numFmtId="171" fontId="6" fillId="24" borderId="2" xfId="1" applyNumberFormat="1" applyFont="1" applyFill="1" applyBorder="1"/>
    <xf numFmtId="43" fontId="6" fillId="24" borderId="2" xfId="0" applyNumberFormat="1" applyFont="1" applyFill="1" applyBorder="1"/>
    <xf numFmtId="171" fontId="6" fillId="24" borderId="2" xfId="0" applyNumberFormat="1" applyFont="1" applyFill="1" applyBorder="1"/>
    <xf numFmtId="175" fontId="6" fillId="24" borderId="2" xfId="0" applyNumberFormat="1" applyFont="1" applyFill="1" applyBorder="1"/>
    <xf numFmtId="171" fontId="0" fillId="5" borderId="2" xfId="0" applyNumberFormat="1" applyFill="1" applyBorder="1"/>
    <xf numFmtId="171" fontId="7" fillId="17" borderId="2" xfId="1" applyNumberFormat="1" applyFont="1" applyFill="1" applyBorder="1"/>
    <xf numFmtId="171" fontId="7" fillId="17" borderId="2" xfId="0" applyNumberFormat="1" applyFont="1" applyFill="1" applyBorder="1"/>
    <xf numFmtId="171" fontId="7" fillId="5" borderId="2" xfId="1" applyNumberFormat="1" applyFont="1" applyFill="1" applyBorder="1"/>
    <xf numFmtId="171" fontId="7" fillId="13" borderId="2" xfId="1" applyNumberFormat="1" applyFont="1" applyFill="1" applyBorder="1"/>
    <xf numFmtId="0" fontId="7" fillId="5" borderId="2" xfId="0" applyFont="1" applyFill="1" applyBorder="1"/>
    <xf numFmtId="2" fontId="7" fillId="17" borderId="2" xfId="0" applyNumberFormat="1" applyFont="1" applyFill="1" applyBorder="1"/>
    <xf numFmtId="43" fontId="7" fillId="17" borderId="2" xfId="0" applyNumberFormat="1" applyFont="1" applyFill="1" applyBorder="1"/>
    <xf numFmtId="2" fontId="7" fillId="22" borderId="2" xfId="0" applyNumberFormat="1" applyFont="1" applyFill="1" applyBorder="1"/>
    <xf numFmtId="171" fontId="7" fillId="22" borderId="2" xfId="1" applyNumberFormat="1" applyFont="1" applyFill="1" applyBorder="1"/>
    <xf numFmtId="171" fontId="7" fillId="22" borderId="2" xfId="0" applyNumberFormat="1" applyFont="1" applyFill="1" applyBorder="1"/>
    <xf numFmtId="165" fontId="7" fillId="22" borderId="2" xfId="1" applyNumberFormat="1" applyFont="1" applyFill="1" applyBorder="1"/>
    <xf numFmtId="170" fontId="7" fillId="22" borderId="2" xfId="0" applyNumberFormat="1" applyFont="1" applyFill="1" applyBorder="1"/>
    <xf numFmtId="170" fontId="7" fillId="22" borderId="2" xfId="1" applyNumberFormat="1" applyFont="1" applyFill="1" applyBorder="1"/>
    <xf numFmtId="0" fontId="0" fillId="25" borderId="5" xfId="0" applyFill="1" applyBorder="1"/>
    <xf numFmtId="0" fontId="0" fillId="25" borderId="6" xfId="0" applyFill="1" applyBorder="1"/>
    <xf numFmtId="171" fontId="7" fillId="22" borderId="4" xfId="1" applyNumberFormat="1" applyFont="1" applyFill="1" applyBorder="1"/>
    <xf numFmtId="171" fontId="7" fillId="22" borderId="4" xfId="0" applyNumberFormat="1" applyFont="1" applyFill="1" applyBorder="1"/>
    <xf numFmtId="175" fontId="0" fillId="18" borderId="2" xfId="2" applyNumberFormat="1" applyFont="1" applyFill="1" applyBorder="1"/>
    <xf numFmtId="9" fontId="0" fillId="16" borderId="2" xfId="4" applyFont="1" applyFill="1" applyBorder="1"/>
    <xf numFmtId="0" fontId="5" fillId="25" borderId="2" xfId="0" applyFont="1" applyFill="1" applyBorder="1"/>
    <xf numFmtId="175" fontId="5" fillId="25" borderId="2" xfId="2" applyNumberFormat="1" applyFont="1" applyFill="1" applyBorder="1"/>
    <xf numFmtId="0" fontId="3" fillId="25" borderId="12" xfId="0" applyFont="1" applyFill="1" applyBorder="1"/>
    <xf numFmtId="0" fontId="7" fillId="17" borderId="7" xfId="0" applyFont="1" applyFill="1" applyBorder="1"/>
    <xf numFmtId="0" fontId="0" fillId="17" borderId="8" xfId="0" applyFill="1" applyBorder="1"/>
    <xf numFmtId="0" fontId="7" fillId="18" borderId="7" xfId="0" applyFont="1" applyFill="1" applyBorder="1"/>
    <xf numFmtId="175" fontId="7" fillId="18" borderId="8" xfId="2" applyNumberFormat="1" applyFont="1" applyFill="1" applyBorder="1"/>
    <xf numFmtId="171" fontId="0" fillId="18" borderId="8" xfId="1" applyNumberFormat="1" applyFont="1" applyFill="1" applyBorder="1"/>
    <xf numFmtId="0" fontId="0" fillId="15" borderId="8" xfId="0" applyFill="1" applyBorder="1"/>
    <xf numFmtId="171" fontId="0" fillId="15" borderId="8" xfId="1" applyNumberFormat="1" applyFont="1" applyFill="1" applyBorder="1"/>
    <xf numFmtId="0" fontId="7" fillId="16" borderId="7" xfId="0" applyFont="1" applyFill="1" applyBorder="1"/>
    <xf numFmtId="9" fontId="0" fillId="16" borderId="8" xfId="4" applyFont="1" applyFill="1" applyBorder="1"/>
    <xf numFmtId="0" fontId="5" fillId="25" borderId="7" xfId="0" applyFont="1" applyFill="1" applyBorder="1"/>
    <xf numFmtId="0" fontId="5" fillId="25" borderId="8" xfId="0" applyFont="1" applyFill="1" applyBorder="1"/>
    <xf numFmtId="175" fontId="5" fillId="25" borderId="8" xfId="2" applyNumberFormat="1" applyFont="1" applyFill="1" applyBorder="1"/>
    <xf numFmtId="0" fontId="5" fillId="25" borderId="9" xfId="0" applyFont="1" applyFill="1" applyBorder="1"/>
    <xf numFmtId="0" fontId="5" fillId="25" borderId="10" xfId="0" applyFont="1" applyFill="1" applyBorder="1"/>
    <xf numFmtId="171" fontId="5" fillId="25" borderId="10" xfId="1" applyNumberFormat="1" applyFont="1" applyFill="1" applyBorder="1"/>
    <xf numFmtId="171" fontId="5" fillId="25" borderId="11" xfId="1" applyNumberFormat="1" applyFont="1" applyFill="1" applyBorder="1"/>
    <xf numFmtId="0" fontId="7" fillId="7" borderId="0" xfId="0" applyFont="1" applyFill="1" applyBorder="1"/>
    <xf numFmtId="172" fontId="0" fillId="0" borderId="2" xfId="0" applyNumberFormat="1" applyBorder="1"/>
    <xf numFmtId="173" fontId="7" fillId="17" borderId="2" xfId="0" applyNumberFormat="1" applyFont="1" applyFill="1" applyBorder="1"/>
    <xf numFmtId="172" fontId="7" fillId="22" borderId="2" xfId="0" applyNumberFormat="1" applyFont="1" applyFill="1" applyBorder="1"/>
    <xf numFmtId="0" fontId="0" fillId="20" borderId="30" xfId="0" applyFill="1" applyBorder="1"/>
    <xf numFmtId="0" fontId="0" fillId="3" borderId="2" xfId="0" applyFill="1" applyBorder="1"/>
    <xf numFmtId="43" fontId="0" fillId="3" borderId="2" xfId="0" applyNumberFormat="1" applyFill="1" applyBorder="1"/>
    <xf numFmtId="43" fontId="0" fillId="3" borderId="2" xfId="1" applyNumberFormat="1" applyFont="1" applyFill="1" applyBorder="1"/>
    <xf numFmtId="0" fontId="7" fillId="3" borderId="2" xfId="0" applyFont="1" applyFill="1" applyBorder="1"/>
    <xf numFmtId="0" fontId="0" fillId="23" borderId="2" xfId="0" applyFill="1" applyBorder="1"/>
    <xf numFmtId="0" fontId="5" fillId="24" borderId="2" xfId="0" applyFont="1" applyFill="1" applyBorder="1"/>
    <xf numFmtId="0" fontId="12" fillId="24" borderId="2" xfId="0" applyFont="1" applyFill="1" applyBorder="1"/>
    <xf numFmtId="0" fontId="6" fillId="20" borderId="0" xfId="0" applyFont="1" applyFill="1" applyBorder="1"/>
    <xf numFmtId="0" fontId="6" fillId="3" borderId="2" xfId="0" applyFont="1" applyFill="1" applyBorder="1"/>
    <xf numFmtId="0" fontId="5" fillId="3" borderId="2" xfId="0" applyFont="1" applyFill="1" applyBorder="1"/>
    <xf numFmtId="0" fontId="6" fillId="23" borderId="2" xfId="0" applyFont="1" applyFill="1" applyBorder="1"/>
    <xf numFmtId="171" fontId="0" fillId="0" borderId="0" xfId="1" applyNumberFormat="1" applyFont="1" applyFill="1" applyBorder="1"/>
    <xf numFmtId="175" fontId="4" fillId="24" borderId="2" xfId="0" applyNumberFormat="1" applyFont="1" applyFill="1" applyBorder="1"/>
    <xf numFmtId="43" fontId="5" fillId="3" borderId="2" xfId="1" applyNumberFormat="1" applyFont="1" applyFill="1" applyBorder="1"/>
    <xf numFmtId="0" fontId="5" fillId="23" borderId="2" xfId="0" applyFont="1" applyFill="1" applyBorder="1"/>
    <xf numFmtId="171" fontId="5" fillId="23" borderId="2" xfId="1" applyNumberFormat="1" applyFont="1" applyFill="1" applyBorder="1"/>
    <xf numFmtId="9" fontId="0" fillId="19" borderId="2" xfId="4" applyNumberFormat="1" applyFont="1" applyFill="1" applyBorder="1"/>
    <xf numFmtId="9" fontId="11" fillId="19" borderId="2" xfId="4" applyNumberFormat="1" applyFont="1" applyFill="1" applyBorder="1"/>
    <xf numFmtId="171" fontId="0" fillId="15" borderId="30" xfId="1" applyNumberFormat="1" applyFont="1" applyFill="1" applyBorder="1" applyAlignment="1">
      <alignment horizontal="center"/>
    </xf>
    <xf numFmtId="171" fontId="0" fillId="15" borderId="16" xfId="1" applyNumberFormat="1" applyFont="1" applyFill="1" applyBorder="1" applyAlignment="1">
      <alignment horizontal="center"/>
    </xf>
    <xf numFmtId="171" fontId="0" fillId="16" borderId="2" xfId="1" applyNumberFormat="1" applyFont="1" applyFill="1" applyBorder="1" applyAlignment="1">
      <alignment horizontal="center"/>
    </xf>
    <xf numFmtId="0" fontId="5" fillId="6" borderId="17" xfId="0" applyFont="1" applyFill="1" applyBorder="1"/>
    <xf numFmtId="0" fontId="5" fillId="6" borderId="18" xfId="0" applyFont="1" applyFill="1" applyBorder="1"/>
    <xf numFmtId="0" fontId="5" fillId="6" borderId="19" xfId="0" applyFont="1" applyFill="1" applyBorder="1"/>
    <xf numFmtId="0" fontId="7" fillId="17" borderId="2" xfId="0" applyFont="1" applyFill="1" applyBorder="1"/>
    <xf numFmtId="0" fontId="5" fillId="15" borderId="20" xfId="0" applyFont="1" applyFill="1" applyBorder="1"/>
    <xf numFmtId="0" fontId="5" fillId="15" borderId="26" xfId="0" applyFont="1" applyFill="1" applyBorder="1"/>
    <xf numFmtId="0" fontId="7" fillId="16" borderId="28" xfId="0" applyFont="1" applyFill="1" applyBorder="1"/>
    <xf numFmtId="0" fontId="0" fillId="16" borderId="29" xfId="0" applyFill="1" applyBorder="1"/>
    <xf numFmtId="0" fontId="5" fillId="16" borderId="4" xfId="0" applyFont="1" applyFill="1" applyBorder="1"/>
    <xf numFmtId="0" fontId="6" fillId="16" borderId="28" xfId="0" applyFont="1" applyFill="1" applyBorder="1"/>
    <xf numFmtId="0" fontId="6" fillId="16" borderId="29" xfId="0" applyFont="1" applyFill="1" applyBorder="1"/>
    <xf numFmtId="0" fontId="7" fillId="16" borderId="29" xfId="0" applyFont="1" applyFill="1" applyBorder="1"/>
    <xf numFmtId="0" fontId="5" fillId="16" borderId="28" xfId="0" applyFont="1" applyFill="1" applyBorder="1"/>
    <xf numFmtId="0" fontId="5" fillId="16" borderId="29" xfId="0" applyFont="1" applyFill="1" applyBorder="1"/>
    <xf numFmtId="0" fontId="12" fillId="15" borderId="37" xfId="0" applyFont="1" applyFill="1" applyBorder="1" applyAlignment="1">
      <alignment horizontal="center"/>
    </xf>
    <xf numFmtId="0" fontId="12" fillId="15" borderId="38" xfId="0" applyFont="1" applyFill="1" applyBorder="1" applyAlignment="1">
      <alignment horizontal="center"/>
    </xf>
    <xf numFmtId="0" fontId="12" fillId="15" borderId="39" xfId="0" applyFont="1" applyFill="1" applyBorder="1" applyAlignment="1">
      <alignment horizontal="center"/>
    </xf>
    <xf numFmtId="0" fontId="7" fillId="15" borderId="20" xfId="0" applyFont="1" applyFill="1" applyBorder="1"/>
    <xf numFmtId="0" fontId="7" fillId="15" borderId="16" xfId="0" applyFont="1" applyFill="1" applyBorder="1"/>
    <xf numFmtId="0" fontId="5" fillId="15" borderId="16" xfId="0" applyFont="1" applyFill="1" applyBorder="1"/>
    <xf numFmtId="0" fontId="9" fillId="15" borderId="3" xfId="0" applyFont="1" applyFill="1" applyBorder="1" applyAlignment="1">
      <alignment horizontal="center" wrapText="1"/>
    </xf>
    <xf numFmtId="0" fontId="9" fillId="12" borderId="20" xfId="0" applyFont="1" applyFill="1" applyBorder="1" applyAlignment="1">
      <alignment horizontal="left"/>
    </xf>
    <xf numFmtId="0" fontId="9" fillId="12" borderId="26" xfId="0" applyFont="1" applyFill="1" applyBorder="1" applyAlignment="1">
      <alignment horizontal="left"/>
    </xf>
    <xf numFmtId="0" fontId="9" fillId="12" borderId="27" xfId="0" applyFont="1" applyFill="1" applyBorder="1" applyAlignment="1">
      <alignment horizontal="left"/>
    </xf>
    <xf numFmtId="0" fontId="7" fillId="12" borderId="20" xfId="0" applyFont="1" applyFill="1" applyBorder="1"/>
    <xf numFmtId="0" fontId="7" fillId="12" borderId="16" xfId="0" applyFont="1" applyFill="1" applyBorder="1"/>
    <xf numFmtId="0" fontId="6" fillId="16" borderId="2" xfId="0" applyFont="1" applyFill="1" applyBorder="1" applyAlignment="1">
      <alignment horizontal="center" vertical="center"/>
    </xf>
    <xf numFmtId="0" fontId="9" fillId="12" borderId="20" xfId="0" applyFont="1" applyFill="1" applyBorder="1"/>
    <xf numFmtId="0" fontId="9" fillId="12" borderId="26" xfId="0" applyFont="1" applyFill="1" applyBorder="1"/>
    <xf numFmtId="0" fontId="9" fillId="12" borderId="27" xfId="0" applyFont="1" applyFill="1" applyBorder="1"/>
    <xf numFmtId="9" fontId="0" fillId="15" borderId="30" xfId="4" applyFont="1" applyFill="1" applyBorder="1" applyAlignment="1">
      <alignment horizontal="center"/>
    </xf>
    <xf numFmtId="9" fontId="0" fillId="15" borderId="16" xfId="4" applyFont="1" applyFill="1" applyBorder="1" applyAlignment="1">
      <alignment horizontal="center"/>
    </xf>
    <xf numFmtId="0" fontId="9" fillId="15" borderId="30" xfId="0" applyFont="1" applyFill="1" applyBorder="1"/>
    <xf numFmtId="0" fontId="9" fillId="15" borderId="26" xfId="0" applyFont="1" applyFill="1" applyBorder="1"/>
    <xf numFmtId="0" fontId="9" fillId="15" borderId="16" xfId="0" applyFont="1" applyFill="1" applyBorder="1"/>
    <xf numFmtId="0" fontId="7" fillId="17" borderId="4" xfId="0" applyFont="1" applyFill="1" applyBorder="1"/>
    <xf numFmtId="0" fontId="12" fillId="15" borderId="17" xfId="0" applyFont="1" applyFill="1" applyBorder="1" applyAlignment="1">
      <alignment horizontal="center"/>
    </xf>
    <xf numFmtId="0" fontId="12" fillId="15" borderId="18" xfId="0" applyFont="1" applyFill="1" applyBorder="1" applyAlignment="1">
      <alignment horizontal="center"/>
    </xf>
    <xf numFmtId="0" fontId="12" fillId="15" borderId="19" xfId="0" applyFont="1" applyFill="1" applyBorder="1" applyAlignment="1">
      <alignment horizontal="center"/>
    </xf>
    <xf numFmtId="171" fontId="5" fillId="16" borderId="2" xfId="1" applyNumberFormat="1" applyFont="1" applyFill="1" applyBorder="1" applyAlignment="1">
      <alignment horizontal="center"/>
    </xf>
    <xf numFmtId="0" fontId="12" fillId="14" borderId="17" xfId="0" applyFont="1" applyFill="1" applyBorder="1" applyAlignment="1">
      <alignment horizontal="center"/>
    </xf>
    <xf numFmtId="0" fontId="12" fillId="14" borderId="18" xfId="0" applyFont="1" applyFill="1" applyBorder="1" applyAlignment="1">
      <alignment horizontal="center"/>
    </xf>
    <xf numFmtId="0" fontId="12" fillId="14" borderId="19" xfId="0" applyFont="1" applyFill="1" applyBorder="1" applyAlignment="1">
      <alignment horizontal="center"/>
    </xf>
    <xf numFmtId="0" fontId="12" fillId="14" borderId="21" xfId="0" applyFont="1" applyFill="1" applyBorder="1" applyAlignment="1">
      <alignment horizontal="center" vertical="center"/>
    </xf>
    <xf numFmtId="0" fontId="12" fillId="14" borderId="22" xfId="0" applyFont="1" applyFill="1" applyBorder="1" applyAlignment="1">
      <alignment horizontal="center" vertical="center"/>
    </xf>
    <xf numFmtId="0" fontId="3" fillId="6" borderId="12" xfId="0" applyFont="1" applyFill="1" applyBorder="1" applyAlignment="1">
      <alignment horizontal="center"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12" fillId="0" borderId="21" xfId="0" applyFont="1" applyBorder="1" applyAlignment="1">
      <alignment horizontal="center"/>
    </xf>
    <xf numFmtId="0" fontId="12" fillId="0" borderId="23" xfId="0" applyFont="1" applyBorder="1" applyAlignment="1">
      <alignment horizontal="center"/>
    </xf>
    <xf numFmtId="0" fontId="12" fillId="0" borderId="22" xfId="0" applyFont="1" applyBorder="1" applyAlignment="1">
      <alignment horizontal="center"/>
    </xf>
    <xf numFmtId="0" fontId="6" fillId="15" borderId="17" xfId="0" applyFont="1" applyFill="1" applyBorder="1" applyAlignment="1">
      <alignment horizontal="left"/>
    </xf>
    <xf numFmtId="0" fontId="6" fillId="15" borderId="25" xfId="0" applyFont="1" applyFill="1" applyBorder="1" applyAlignment="1">
      <alignment horizontal="left"/>
    </xf>
    <xf numFmtId="0" fontId="5" fillId="6" borderId="20" xfId="0" applyFont="1" applyFill="1" applyBorder="1"/>
    <xf numFmtId="0" fontId="5" fillId="6" borderId="26" xfId="0" applyFont="1" applyFill="1" applyBorder="1"/>
    <xf numFmtId="0" fontId="5" fillId="6" borderId="27" xfId="0" applyFont="1" applyFill="1" applyBorder="1"/>
    <xf numFmtId="0" fontId="7" fillId="16" borderId="20" xfId="0" applyFont="1" applyFill="1" applyBorder="1"/>
    <xf numFmtId="0" fontId="7" fillId="16" borderId="16" xfId="0" applyFont="1" applyFill="1" applyBorder="1"/>
    <xf numFmtId="0" fontId="6" fillId="16" borderId="17" xfId="0" applyFont="1" applyFill="1" applyBorder="1"/>
    <xf numFmtId="0" fontId="6" fillId="16" borderId="18" xfId="0" applyFont="1" applyFill="1" applyBorder="1"/>
    <xf numFmtId="0" fontId="6" fillId="16" borderId="19" xfId="0" applyFont="1" applyFill="1" applyBorder="1"/>
    <xf numFmtId="0" fontId="6" fillId="15" borderId="3" xfId="0" applyFont="1" applyFill="1" applyBorder="1" applyAlignment="1">
      <alignment horizontal="center"/>
    </xf>
    <xf numFmtId="9" fontId="0" fillId="16" borderId="2" xfId="4" applyFont="1" applyFill="1" applyBorder="1" applyAlignment="1">
      <alignment horizontal="center"/>
    </xf>
    <xf numFmtId="171" fontId="0" fillId="0" borderId="0" xfId="1" applyNumberFormat="1" applyFont="1" applyBorder="1" applyAlignment="1">
      <alignment horizontal="center"/>
    </xf>
    <xf numFmtId="171" fontId="0" fillId="16" borderId="2" xfId="1" applyNumberFormat="1" applyFont="1" applyFill="1" applyBorder="1" applyAlignment="1">
      <alignment horizontal="left" vertical="center"/>
    </xf>
    <xf numFmtId="171" fontId="5" fillId="16" borderId="2" xfId="1" applyNumberFormat="1" applyFont="1" applyFill="1" applyBorder="1" applyAlignment="1">
      <alignment horizontal="left" vertical="center"/>
    </xf>
    <xf numFmtId="0" fontId="7" fillId="22" borderId="2" xfId="0" applyFont="1" applyFill="1" applyBorder="1"/>
    <xf numFmtId="0" fontId="7" fillId="22" borderId="4" xfId="0" applyFont="1" applyFill="1" applyBorder="1"/>
    <xf numFmtId="0" fontId="12" fillId="0" borderId="30" xfId="0" applyFont="1" applyBorder="1" applyAlignment="1">
      <alignment horizontal="center"/>
    </xf>
    <xf numFmtId="0" fontId="12" fillId="0" borderId="26" xfId="0"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1" fontId="21" fillId="17" borderId="31" xfId="1" applyNumberFormat="1" applyFont="1" applyFill="1" applyBorder="1" applyAlignment="1"/>
    <xf numFmtId="171" fontId="21" fillId="17" borderId="1" xfId="1" applyNumberFormat="1" applyFont="1" applyFill="1" applyBorder="1" applyAlignment="1"/>
    <xf numFmtId="171" fontId="21" fillId="17" borderId="24" xfId="1" applyNumberFormat="1" applyFont="1" applyFill="1" applyBorder="1" applyAlignment="1"/>
    <xf numFmtId="0" fontId="12" fillId="0" borderId="1" xfId="0" applyFont="1" applyBorder="1" applyAlignment="1">
      <alignment horizontal="center"/>
    </xf>
  </cellXfs>
  <cellStyles count="5">
    <cellStyle name="Comma" xfId="1" builtinId="3"/>
    <cellStyle name="Currency" xfId="2" builtinId="4"/>
    <cellStyle name="Normal" xfId="0" builtinId="0"/>
    <cellStyle name="Normal 5" xfId="3" xr:uid="{00000000-0005-0000-0000-000003000000}"/>
    <cellStyle name="Percent" xfId="4" builtinId="5"/>
  </cellStyles>
  <dxfs count="0"/>
  <tableStyles count="0" defaultTableStyle="TableStyleMedium2" defaultPivotStyle="PivotStyleLight16"/>
  <colors>
    <mruColors>
      <color rgb="FFFFBF93"/>
      <color rgb="FFFBB8A3"/>
      <color rgb="FFF9FDCB"/>
      <color rgb="FF9FFF9F"/>
      <color rgb="FFBDD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180975</xdr:colOff>
      <xdr:row>1</xdr:row>
      <xdr:rowOff>85725</xdr:rowOff>
    </xdr:from>
    <xdr:to>
      <xdr:col>3</xdr:col>
      <xdr:colOff>657225</xdr:colOff>
      <xdr:row>6</xdr:row>
      <xdr:rowOff>57150</xdr:rowOff>
    </xdr:to>
    <xdr:sp macro="" textlink="">
      <xdr:nvSpPr>
        <xdr:cNvPr id="2" name="TextBox 1">
          <a:extLst>
            <a:ext uri="{FF2B5EF4-FFF2-40B4-BE49-F238E27FC236}">
              <a16:creationId xmlns:a16="http://schemas.microsoft.com/office/drawing/2014/main" id="{A14B7F77-FCC8-4AC9-BE79-D231F3502DF4}"/>
            </a:ext>
          </a:extLst>
        </xdr:cNvPr>
        <xdr:cNvSpPr txBox="1"/>
      </xdr:nvSpPr>
      <xdr:spPr>
        <a:xfrm>
          <a:off x="5953125" y="619125"/>
          <a:ext cx="1304925" cy="1095375"/>
        </a:xfrm>
        <a:prstGeom prst="rect">
          <a:avLst/>
        </a:prstGeom>
        <a:solidFill>
          <a:srgbClr val="92D05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t>Bright</a:t>
          </a:r>
          <a:r>
            <a:rPr lang="en-CA" sz="1600" b="1" baseline="0"/>
            <a:t> green cells contain user input variables.</a:t>
          </a:r>
          <a:endParaRPr lang="en-CA" sz="1600" b="1"/>
        </a:p>
      </xdr:txBody>
    </xdr:sp>
    <xdr:clientData/>
  </xdr:twoCellAnchor>
  <xdr:twoCellAnchor>
    <xdr:from>
      <xdr:col>10</xdr:col>
      <xdr:colOff>95250</xdr:colOff>
      <xdr:row>17</xdr:row>
      <xdr:rowOff>19050</xdr:rowOff>
    </xdr:from>
    <xdr:to>
      <xdr:col>17</xdr:col>
      <xdr:colOff>47625</xdr:colOff>
      <xdr:row>45</xdr:row>
      <xdr:rowOff>95250</xdr:rowOff>
    </xdr:to>
    <xdr:sp macro="" textlink="">
      <xdr:nvSpPr>
        <xdr:cNvPr id="3" name="TextBox 2">
          <a:extLst>
            <a:ext uri="{FF2B5EF4-FFF2-40B4-BE49-F238E27FC236}">
              <a16:creationId xmlns:a16="http://schemas.microsoft.com/office/drawing/2014/main" id="{CF1B9134-4FF6-4C06-BD3A-F8D95753FB2E}"/>
            </a:ext>
          </a:extLst>
        </xdr:cNvPr>
        <xdr:cNvSpPr txBox="1"/>
      </xdr:nvSpPr>
      <xdr:spPr>
        <a:xfrm>
          <a:off x="11915775" y="2943225"/>
          <a:ext cx="2638425" cy="5114925"/>
        </a:xfrm>
        <a:prstGeom prst="rect">
          <a:avLst/>
        </a:prstGeom>
        <a:solidFill>
          <a:srgbClr val="F9FDCB"/>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i="1"/>
            <a:t>Please note:</a:t>
          </a:r>
        </a:p>
        <a:p>
          <a:endParaRPr lang="en-CA" sz="1100"/>
        </a:p>
        <a:p>
          <a:r>
            <a:rPr lang="en-CA" sz="1100"/>
            <a:t>This calculator</a:t>
          </a:r>
          <a:r>
            <a:rPr lang="en-CA" sz="1100" baseline="0"/>
            <a:t> is intended to provide a broad brush picture of the energy, emissions and economic dimensions of the electrification and decarbonization of the Canadian personal vehicle fleet, (cars, SUV's, pickup trucks) and road transport vehicle fleet (trucks of all sizes).</a:t>
          </a:r>
        </a:p>
        <a:p>
          <a:endParaRPr lang="en-CA" sz="1100" baseline="0"/>
        </a:p>
        <a:p>
          <a:r>
            <a:rPr lang="en-CA" sz="1100" baseline="0"/>
            <a:t>It uses Canadian averages for variables such as the carbon intensity of electricity, the mix of vehicle types in the fleet, and other variables that vary significantly by province.</a:t>
          </a:r>
        </a:p>
        <a:p>
          <a:endParaRPr lang="en-CA" sz="1100"/>
        </a:p>
        <a:p>
          <a:r>
            <a:rPr lang="en-CA" sz="1100"/>
            <a:t>Actual policy and investment strategies should be informed by detailed analysis of local vehicle, transportation infrastructure and energy commodity markets.</a:t>
          </a:r>
        </a:p>
        <a:p>
          <a:endParaRPr lang="en-CA" sz="1100"/>
        </a:p>
        <a:p>
          <a:r>
            <a:rPr lang="en-CA" sz="1100"/>
            <a:t>All</a:t>
          </a:r>
          <a:r>
            <a:rPr lang="en-CA" sz="1100" baseline="0"/>
            <a:t> inputs that can be varied by the user are on this tab -- The Low Carbon Scenario -- and are identified by bright green cells.</a:t>
          </a:r>
          <a:endParaRPr lang="en-CA" sz="1100"/>
        </a:p>
        <a:p>
          <a:endParaRPr lang="en-CA" sz="1100"/>
        </a:p>
        <a:p>
          <a:r>
            <a:rPr lang="en-CA" sz="1100"/>
            <a:t>Feedback is welcome.  </a:t>
          </a:r>
        </a:p>
        <a:p>
          <a:r>
            <a:rPr lang="en-CA" sz="1100"/>
            <a:t>Ralph Torrie</a:t>
          </a:r>
        </a:p>
        <a:p>
          <a:r>
            <a:rPr lang="en-CA" sz="1100"/>
            <a:t>rtorrie@torriesmith.com</a:t>
          </a:r>
        </a:p>
        <a:p>
          <a:r>
            <a:rPr lang="en-CA" sz="1100"/>
            <a:t>May, 2020.</a:t>
          </a:r>
        </a:p>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84"/>
  <sheetViews>
    <sheetView showGridLines="0" tabSelected="1" zoomScaleNormal="100" workbookViewId="0">
      <selection activeCell="I34" sqref="I34:J34"/>
    </sheetView>
  </sheetViews>
  <sheetFormatPr defaultRowHeight="12.75" x14ac:dyDescent="0.2"/>
  <cols>
    <col min="1" max="1" width="70.140625" customWidth="1"/>
    <col min="2" max="2" width="16.42578125" customWidth="1"/>
    <col min="3" max="3" width="12.42578125" customWidth="1"/>
    <col min="4" max="4" width="10.42578125" customWidth="1"/>
    <col min="5" max="5" width="1.28515625" customWidth="1"/>
    <col min="6" max="6" width="42.85546875" customWidth="1"/>
    <col min="7" max="7" width="6" customWidth="1"/>
    <col min="8" max="8" width="6.28515625" customWidth="1"/>
    <col min="9" max="14" width="5.7109375" bestFit="1" customWidth="1"/>
    <col min="15" max="15" width="6" bestFit="1" customWidth="1"/>
    <col min="16" max="17" width="5.7109375" bestFit="1" customWidth="1"/>
    <col min="18" max="18" width="6.42578125" customWidth="1"/>
  </cols>
  <sheetData>
    <row r="1" spans="1:18" ht="42" customHeight="1" thickBot="1" x14ac:dyDescent="0.3">
      <c r="A1" s="486" t="s">
        <v>228</v>
      </c>
      <c r="B1" s="487"/>
      <c r="F1" s="488" t="s">
        <v>355</v>
      </c>
      <c r="G1" s="489"/>
      <c r="H1" s="489"/>
      <c r="I1" s="489"/>
      <c r="J1" s="489"/>
      <c r="K1" s="489"/>
      <c r="L1" s="489"/>
      <c r="M1" s="489"/>
      <c r="N1" s="489"/>
      <c r="O1" s="489"/>
      <c r="P1" s="489"/>
      <c r="Q1" s="490"/>
    </row>
    <row r="2" spans="1:18" s="144" customFormat="1" ht="28.5" customHeight="1" x14ac:dyDescent="0.2">
      <c r="A2" s="186" t="s">
        <v>352</v>
      </c>
      <c r="B2" s="187" t="s">
        <v>319</v>
      </c>
      <c r="C2" s="143"/>
      <c r="F2" s="156" t="s">
        <v>277</v>
      </c>
      <c r="G2" s="157">
        <f t="shared" ref="G2:P2" si="0">H2-1</f>
        <v>2020</v>
      </c>
      <c r="H2" s="157">
        <f t="shared" si="0"/>
        <v>2021</v>
      </c>
      <c r="I2" s="157">
        <f t="shared" si="0"/>
        <v>2022</v>
      </c>
      <c r="J2" s="157">
        <f t="shared" si="0"/>
        <v>2023</v>
      </c>
      <c r="K2" s="157">
        <f t="shared" si="0"/>
        <v>2024</v>
      </c>
      <c r="L2" s="157">
        <f t="shared" si="0"/>
        <v>2025</v>
      </c>
      <c r="M2" s="157">
        <f t="shared" si="0"/>
        <v>2026</v>
      </c>
      <c r="N2" s="157">
        <f t="shared" si="0"/>
        <v>2027</v>
      </c>
      <c r="O2" s="157">
        <f t="shared" si="0"/>
        <v>2028</v>
      </c>
      <c r="P2" s="157">
        <f t="shared" si="0"/>
        <v>2029</v>
      </c>
      <c r="Q2" s="158">
        <v>2030</v>
      </c>
    </row>
    <row r="3" spans="1:18" ht="15" x14ac:dyDescent="0.2">
      <c r="A3" s="188" t="s">
        <v>356</v>
      </c>
      <c r="B3" s="202">
        <f>' Calcs &amp; Detailed Results'!M3</f>
        <v>64157.909436958245</v>
      </c>
      <c r="C3" s="36"/>
      <c r="F3" s="159" t="s">
        <v>318</v>
      </c>
      <c r="G3" s="284">
        <v>0.52</v>
      </c>
      <c r="H3" s="284">
        <v>0.52</v>
      </c>
      <c r="I3" s="284">
        <v>0.52</v>
      </c>
      <c r="J3" s="284">
        <v>0.52</v>
      </c>
      <c r="K3" s="284">
        <v>0.52</v>
      </c>
      <c r="L3" s="284">
        <v>0.52</v>
      </c>
      <c r="M3" s="284">
        <v>0.52</v>
      </c>
      <c r="N3" s="284">
        <v>0.52</v>
      </c>
      <c r="O3" s="284">
        <v>0.52</v>
      </c>
      <c r="P3" s="284">
        <v>0.52</v>
      </c>
      <c r="Q3" s="287">
        <v>0.52</v>
      </c>
    </row>
    <row r="4" spans="1:18" ht="15" x14ac:dyDescent="0.2">
      <c r="A4" s="188" t="s">
        <v>310</v>
      </c>
      <c r="B4" s="202">
        <f>' Calcs &amp; Detailed Results'!M4</f>
        <v>22689.426669015673</v>
      </c>
      <c r="C4" s="36"/>
      <c r="F4" s="159" t="s">
        <v>317</v>
      </c>
      <c r="G4" s="118">
        <f>1-G3</f>
        <v>0.48</v>
      </c>
      <c r="H4" s="118">
        <f>G4</f>
        <v>0.48</v>
      </c>
      <c r="I4" s="118">
        <f>H4</f>
        <v>0.48</v>
      </c>
      <c r="J4" s="118">
        <f t="shared" ref="J4:Q4" si="1">I4</f>
        <v>0.48</v>
      </c>
      <c r="K4" s="118">
        <f t="shared" si="1"/>
        <v>0.48</v>
      </c>
      <c r="L4" s="118">
        <f t="shared" si="1"/>
        <v>0.48</v>
      </c>
      <c r="M4" s="118">
        <f t="shared" si="1"/>
        <v>0.48</v>
      </c>
      <c r="N4" s="118">
        <f t="shared" si="1"/>
        <v>0.48</v>
      </c>
      <c r="O4" s="118">
        <f t="shared" si="1"/>
        <v>0.48</v>
      </c>
      <c r="P4" s="118">
        <f t="shared" si="1"/>
        <v>0.48</v>
      </c>
      <c r="Q4" s="142">
        <f t="shared" si="1"/>
        <v>0.48</v>
      </c>
    </row>
    <row r="5" spans="1:18" ht="15" x14ac:dyDescent="0.2">
      <c r="A5" s="188" t="s">
        <v>330</v>
      </c>
      <c r="B5" s="202">
        <f>' Calcs &amp; Detailed Results'!M7</f>
        <v>1000</v>
      </c>
      <c r="C5" s="36"/>
      <c r="F5" s="159" t="s">
        <v>91</v>
      </c>
      <c r="G5" s="285">
        <v>3.5999999999999997E-2</v>
      </c>
      <c r="H5" s="285">
        <v>0.08</v>
      </c>
      <c r="I5" s="285">
        <v>0.15</v>
      </c>
      <c r="J5" s="285">
        <v>0.2</v>
      </c>
      <c r="K5" s="285">
        <v>0.25</v>
      </c>
      <c r="L5" s="285">
        <v>0.35</v>
      </c>
      <c r="M5" s="285">
        <v>0.45</v>
      </c>
      <c r="N5" s="285">
        <v>0.55000000000000004</v>
      </c>
      <c r="O5" s="285">
        <v>0.65</v>
      </c>
      <c r="P5" s="285">
        <v>0.85</v>
      </c>
      <c r="Q5" s="286">
        <v>1</v>
      </c>
    </row>
    <row r="6" spans="1:18" ht="15" x14ac:dyDescent="0.2">
      <c r="A6" s="188" t="s">
        <v>349</v>
      </c>
      <c r="B6" s="202">
        <f>' Calcs &amp; Detailed Results'!M8</f>
        <v>14692.85568520698</v>
      </c>
      <c r="C6" s="36"/>
      <c r="F6" s="159" t="s">
        <v>98</v>
      </c>
      <c r="G6" s="285">
        <v>0.01</v>
      </c>
      <c r="H6" s="285">
        <v>0.04</v>
      </c>
      <c r="I6" s="285">
        <v>0.1</v>
      </c>
      <c r="J6" s="285">
        <v>0.15</v>
      </c>
      <c r="K6" s="285">
        <v>0.2</v>
      </c>
      <c r="L6" s="285">
        <v>0.25</v>
      </c>
      <c r="M6" s="285">
        <v>0.3</v>
      </c>
      <c r="N6" s="285">
        <v>0.3</v>
      </c>
      <c r="O6" s="285">
        <v>0.25</v>
      </c>
      <c r="P6" s="285">
        <v>0.15</v>
      </c>
      <c r="Q6" s="286">
        <v>0</v>
      </c>
    </row>
    <row r="7" spans="1:18" ht="15" x14ac:dyDescent="0.2">
      <c r="A7" s="190" t="s">
        <v>362</v>
      </c>
      <c r="B7" s="202">
        <f>' Calcs &amp; Detailed Results'!M9</f>
        <v>2000</v>
      </c>
      <c r="F7" s="159" t="s">
        <v>92</v>
      </c>
      <c r="G7" s="285">
        <v>0.01</v>
      </c>
      <c r="H7" s="285">
        <v>0.05</v>
      </c>
      <c r="I7" s="285">
        <v>0.1</v>
      </c>
      <c r="J7" s="285">
        <v>0.15</v>
      </c>
      <c r="K7" s="285">
        <v>0.2</v>
      </c>
      <c r="L7" s="285">
        <v>0.3</v>
      </c>
      <c r="M7" s="285">
        <v>0.4</v>
      </c>
      <c r="N7" s="285">
        <v>0.5</v>
      </c>
      <c r="O7" s="285">
        <v>0.6</v>
      </c>
      <c r="P7" s="285">
        <v>0.85</v>
      </c>
      <c r="Q7" s="286">
        <v>1</v>
      </c>
    </row>
    <row r="8" spans="1:18" ht="15" x14ac:dyDescent="0.2">
      <c r="A8" s="188" t="s">
        <v>397</v>
      </c>
      <c r="B8" s="202">
        <f>' Calcs &amp; Detailed Results'!M5+' Calcs &amp; Detailed Results'!M6</f>
        <v>8170.522188952501</v>
      </c>
      <c r="C8" s="36"/>
      <c r="F8" s="159" t="s">
        <v>97</v>
      </c>
      <c r="G8" s="285">
        <v>0.01</v>
      </c>
      <c r="H8" s="285">
        <v>0.04</v>
      </c>
      <c r="I8" s="285">
        <v>0.08</v>
      </c>
      <c r="J8" s="285">
        <v>0.15</v>
      </c>
      <c r="K8" s="285">
        <v>0.2</v>
      </c>
      <c r="L8" s="285">
        <v>0.2</v>
      </c>
      <c r="M8" s="285">
        <v>0.25</v>
      </c>
      <c r="N8" s="285">
        <v>0.3</v>
      </c>
      <c r="O8" s="285">
        <v>0.3</v>
      </c>
      <c r="P8" s="285">
        <v>0.15</v>
      </c>
      <c r="Q8" s="286">
        <v>0</v>
      </c>
    </row>
    <row r="9" spans="1:18" ht="16.5" thickBot="1" x14ac:dyDescent="0.3">
      <c r="A9" s="189" t="s">
        <v>351</v>
      </c>
      <c r="B9" s="203">
        <f>SUM(B3:B8)</f>
        <v>112710.7139801334</v>
      </c>
      <c r="C9" s="36"/>
      <c r="F9" s="496" t="s">
        <v>278</v>
      </c>
      <c r="G9" s="497"/>
      <c r="H9" s="497"/>
      <c r="I9" s="497"/>
      <c r="J9" s="497"/>
      <c r="K9" s="497"/>
      <c r="L9" s="497"/>
      <c r="M9" s="497"/>
      <c r="N9" s="497"/>
      <c r="O9" s="497"/>
      <c r="P9" s="497"/>
      <c r="Q9" s="498"/>
    </row>
    <row r="10" spans="1:18" ht="15" x14ac:dyDescent="0.2">
      <c r="A10" s="191" t="s">
        <v>350</v>
      </c>
      <c r="B10" s="204">
        <f>' Calcs &amp; Detailed Results'!L30</f>
        <v>23898.148299854438</v>
      </c>
      <c r="C10" s="36"/>
      <c r="E10" s="7"/>
      <c r="F10" s="159" t="s">
        <v>275</v>
      </c>
      <c r="G10" s="284">
        <v>0</v>
      </c>
      <c r="H10" s="284">
        <v>0.05</v>
      </c>
      <c r="I10" s="284">
        <v>0.1</v>
      </c>
      <c r="J10" s="284">
        <v>0.1</v>
      </c>
      <c r="K10" s="284">
        <v>0.15</v>
      </c>
      <c r="L10" s="284">
        <v>0.25</v>
      </c>
      <c r="M10" s="284">
        <v>0.4</v>
      </c>
      <c r="N10" s="284">
        <v>0.5</v>
      </c>
      <c r="O10" s="284">
        <v>0.6</v>
      </c>
      <c r="P10" s="284">
        <v>0.7</v>
      </c>
      <c r="Q10" s="287">
        <v>0.8</v>
      </c>
    </row>
    <row r="11" spans="1:18" ht="15" x14ac:dyDescent="0.2">
      <c r="A11" s="192" t="s">
        <v>353</v>
      </c>
      <c r="B11" s="201">
        <f>' Calcs &amp; Detailed Results'!L20</f>
        <v>65.7277125924399</v>
      </c>
      <c r="E11" s="7"/>
      <c r="F11" s="159" t="s">
        <v>274</v>
      </c>
      <c r="G11" s="284">
        <v>0</v>
      </c>
      <c r="H11" s="284">
        <v>0.01</v>
      </c>
      <c r="I11" s="284">
        <v>0.03</v>
      </c>
      <c r="J11" s="284">
        <v>0.05</v>
      </c>
      <c r="K11" s="284">
        <v>0.1</v>
      </c>
      <c r="L11" s="284">
        <v>0.15</v>
      </c>
      <c r="M11" s="284">
        <v>0.25</v>
      </c>
      <c r="N11" s="284">
        <v>0.35</v>
      </c>
      <c r="O11" s="284">
        <v>0.5</v>
      </c>
      <c r="P11" s="284">
        <v>0.65</v>
      </c>
      <c r="Q11" s="287">
        <v>0.75</v>
      </c>
    </row>
    <row r="12" spans="1:18" ht="15.75" thickBot="1" x14ac:dyDescent="0.25">
      <c r="A12" s="192" t="s">
        <v>354</v>
      </c>
      <c r="B12" s="205">
        <f>' Calcs &amp; Detailed Results'!M20</f>
        <v>230.57212677972362</v>
      </c>
      <c r="E12" s="7"/>
      <c r="F12" s="289" t="s">
        <v>276</v>
      </c>
      <c r="G12" s="290">
        <v>0</v>
      </c>
      <c r="H12" s="290">
        <v>0.01</v>
      </c>
      <c r="I12" s="290">
        <v>0.03</v>
      </c>
      <c r="J12" s="290">
        <v>0.05</v>
      </c>
      <c r="K12" s="290">
        <v>0.1</v>
      </c>
      <c r="L12" s="290">
        <v>0.15</v>
      </c>
      <c r="M12" s="290">
        <v>0.25</v>
      </c>
      <c r="N12" s="290">
        <v>0.35</v>
      </c>
      <c r="O12" s="290">
        <v>0.5</v>
      </c>
      <c r="P12" s="290">
        <v>0.65</v>
      </c>
      <c r="Q12" s="311">
        <v>0.75</v>
      </c>
    </row>
    <row r="13" spans="1:18" ht="15.75" customHeight="1" thickBot="1" x14ac:dyDescent="0.25">
      <c r="A13" s="193" t="s">
        <v>312</v>
      </c>
      <c r="B13" s="194">
        <f>' Calcs &amp; Detailed Results'!M40</f>
        <v>834059.28345298721</v>
      </c>
      <c r="E13" s="7"/>
      <c r="F13" s="443" t="s">
        <v>367</v>
      </c>
      <c r="G13" s="444"/>
      <c r="H13" s="444"/>
      <c r="I13" s="444"/>
      <c r="J13" s="444"/>
      <c r="K13" s="444"/>
      <c r="L13" s="444"/>
      <c r="M13" s="444"/>
      <c r="N13" s="444"/>
      <c r="O13" s="444"/>
      <c r="P13" s="444"/>
      <c r="Q13" s="445"/>
    </row>
    <row r="14" spans="1:18" ht="18.75" thickBot="1" x14ac:dyDescent="0.3">
      <c r="A14" s="199"/>
      <c r="B14" s="19"/>
      <c r="C14" s="19"/>
      <c r="E14" s="7"/>
      <c r="F14" s="160" t="s">
        <v>366</v>
      </c>
      <c r="G14" s="291">
        <v>0</v>
      </c>
      <c r="H14" s="291">
        <v>0.01</v>
      </c>
      <c r="I14" s="291">
        <v>0.02</v>
      </c>
      <c r="J14" s="291">
        <v>0.05</v>
      </c>
      <c r="K14" s="291">
        <v>0.1</v>
      </c>
      <c r="L14" s="291">
        <v>0.12</v>
      </c>
      <c r="M14" s="291">
        <v>0.14000000000000001</v>
      </c>
      <c r="N14" s="291">
        <v>0.14000000000000001</v>
      </c>
      <c r="O14" s="291">
        <v>0.14000000000000001</v>
      </c>
      <c r="P14" s="291">
        <v>0.14000000000000001</v>
      </c>
      <c r="Q14" s="292">
        <v>0.14000000000000001</v>
      </c>
      <c r="R14" s="112">
        <f>SUM(G14:Q14)</f>
        <v>1</v>
      </c>
    </row>
    <row r="15" spans="1:18" ht="15.75" customHeight="1" thickBot="1" x14ac:dyDescent="0.3">
      <c r="A15" s="199"/>
      <c r="B15" s="163"/>
      <c r="C15" s="163"/>
      <c r="D15" s="163"/>
      <c r="E15" s="163"/>
      <c r="F15" s="443" t="s">
        <v>395</v>
      </c>
      <c r="G15" s="444"/>
      <c r="H15" s="444"/>
      <c r="I15" s="444"/>
      <c r="J15" s="444"/>
      <c r="K15" s="444"/>
      <c r="L15" s="444"/>
      <c r="M15" s="444"/>
      <c r="N15" s="444"/>
      <c r="O15" s="444"/>
      <c r="P15" s="444"/>
      <c r="Q15" s="445"/>
      <c r="R15" s="310"/>
    </row>
    <row r="16" spans="1:18" ht="18.75" customHeight="1" thickBot="1" x14ac:dyDescent="0.35">
      <c r="A16" s="491" t="s">
        <v>236</v>
      </c>
      <c r="B16" s="492"/>
      <c r="C16" s="493"/>
      <c r="E16" s="7"/>
      <c r="F16" s="160" t="s">
        <v>396</v>
      </c>
      <c r="G16" s="291">
        <v>0</v>
      </c>
      <c r="H16" s="291">
        <v>0.01</v>
      </c>
      <c r="I16" s="291">
        <v>0.02</v>
      </c>
      <c r="J16" s="291">
        <v>0.05</v>
      </c>
      <c r="K16" s="291">
        <v>0.1</v>
      </c>
      <c r="L16" s="291">
        <v>0.12</v>
      </c>
      <c r="M16" s="291">
        <v>0.14000000000000001</v>
      </c>
      <c r="N16" s="291">
        <v>0.14000000000000001</v>
      </c>
      <c r="O16" s="291">
        <v>0.14000000000000001</v>
      </c>
      <c r="P16" s="291">
        <v>0.14000000000000001</v>
      </c>
      <c r="Q16" s="292">
        <v>0.14000000000000001</v>
      </c>
      <c r="R16" s="112">
        <f>SUM(G16:Q16)</f>
        <v>1</v>
      </c>
    </row>
    <row r="17" spans="1:10" ht="16.5" thickBot="1" x14ac:dyDescent="0.3">
      <c r="A17" s="501" t="s">
        <v>233</v>
      </c>
      <c r="B17" s="502"/>
      <c r="C17" s="503"/>
      <c r="E17" s="7"/>
    </row>
    <row r="18" spans="1:10" ht="21" thickBot="1" x14ac:dyDescent="0.35">
      <c r="A18" s="499" t="s">
        <v>234</v>
      </c>
      <c r="B18" s="500"/>
      <c r="C18" s="265">
        <v>2000</v>
      </c>
      <c r="E18" s="7"/>
      <c r="F18" s="457" t="s">
        <v>223</v>
      </c>
      <c r="G18" s="458"/>
      <c r="H18" s="458"/>
      <c r="I18" s="458"/>
      <c r="J18" s="459"/>
    </row>
    <row r="19" spans="1:10" ht="20.25" x14ac:dyDescent="0.25">
      <c r="A19" s="499" t="s">
        <v>237</v>
      </c>
      <c r="B19" s="500"/>
      <c r="C19" s="266">
        <v>1000000</v>
      </c>
      <c r="E19" s="7"/>
      <c r="F19" s="312" t="s">
        <v>341</v>
      </c>
      <c r="G19" s="504">
        <v>2020</v>
      </c>
      <c r="H19" s="504"/>
      <c r="I19" s="463">
        <v>2030</v>
      </c>
      <c r="J19" s="463"/>
    </row>
    <row r="20" spans="1:10" x14ac:dyDescent="0.2">
      <c r="A20" s="499" t="s">
        <v>315</v>
      </c>
      <c r="B20" s="500"/>
      <c r="C20" s="165">
        <f>C18*C19/1000000</f>
        <v>2000</v>
      </c>
      <c r="E20" s="7"/>
      <c r="F20" s="181" t="str">
        <f>' Calcs &amp; Detailed Results'!A46</f>
        <v>Total personal mobility, kilometres per year</v>
      </c>
      <c r="G20" s="440">
        <f>' Calcs &amp; Detailed Results'!B46</f>
        <v>604800</v>
      </c>
      <c r="H20" s="441"/>
      <c r="I20" s="440">
        <f>' Calcs &amp; Detailed Results'!L46</f>
        <v>660136.9186121485</v>
      </c>
      <c r="J20" s="441"/>
    </row>
    <row r="21" spans="1:10" ht="15.75" thickBot="1" x14ac:dyDescent="0.3">
      <c r="A21" s="499" t="s">
        <v>303</v>
      </c>
      <c r="B21" s="500"/>
      <c r="C21" s="141">
        <v>1.4999999999999999E-2</v>
      </c>
      <c r="E21" s="7"/>
      <c r="F21" s="475" t="str">
        <f>' Calcs &amp; Detailed Results'!A57</f>
        <v>Vehicle-km by mode, millions</v>
      </c>
      <c r="G21" s="476"/>
      <c r="H21" s="476"/>
      <c r="I21" s="476"/>
      <c r="J21" s="477"/>
    </row>
    <row r="22" spans="1:10" ht="15.75" x14ac:dyDescent="0.25">
      <c r="A22" s="494" t="s">
        <v>332</v>
      </c>
      <c r="B22" s="495"/>
      <c r="C22" s="174" t="s">
        <v>238</v>
      </c>
      <c r="E22" s="7"/>
      <c r="F22" s="182" t="str">
        <f>' Calcs &amp; Detailed Results'!A58</f>
        <v>Personal vehicle</v>
      </c>
      <c r="G22" s="440">
        <f>' Calcs &amp; Detailed Results'!B58</f>
        <v>380620.79999999999</v>
      </c>
      <c r="H22" s="441"/>
      <c r="I22" s="440">
        <f>' Calcs &amp; Detailed Results'!L58</f>
        <v>408844.79826045735</v>
      </c>
      <c r="J22" s="441"/>
    </row>
    <row r="23" spans="1:10" ht="13.5" customHeight="1" x14ac:dyDescent="0.2">
      <c r="A23" s="447" t="s">
        <v>331</v>
      </c>
      <c r="B23" s="448"/>
      <c r="C23" s="175"/>
      <c r="E23" s="7"/>
      <c r="F23" s="182" t="str">
        <f>' Calcs &amp; Detailed Results'!A59</f>
        <v>Transit bus</v>
      </c>
      <c r="G23" s="440">
        <f>' Calcs &amp; Detailed Results'!B59</f>
        <v>1179.3600000000001</v>
      </c>
      <c r="H23" s="441"/>
      <c r="I23" s="440">
        <f>' Calcs &amp; Detailed Results'!L59</f>
        <v>1287.2669912936894</v>
      </c>
      <c r="J23" s="441"/>
    </row>
    <row r="24" spans="1:10" x14ac:dyDescent="0.2">
      <c r="A24" s="460" t="s">
        <v>304</v>
      </c>
      <c r="B24" s="461"/>
      <c r="C24" s="267">
        <v>500</v>
      </c>
      <c r="E24" s="7"/>
      <c r="F24" s="182" t="str">
        <f>' Calcs &amp; Detailed Results'!A60</f>
        <v>Electric transit</v>
      </c>
      <c r="G24" s="440">
        <f>' Calcs &amp; Detailed Results'!B60</f>
        <v>226.8</v>
      </c>
      <c r="H24" s="441"/>
      <c r="I24" s="440">
        <f>' Calcs &amp; Detailed Results'!L60</f>
        <v>247.55134447955567</v>
      </c>
      <c r="J24" s="441"/>
    </row>
    <row r="25" spans="1:10" x14ac:dyDescent="0.2">
      <c r="A25" s="460" t="s">
        <v>305</v>
      </c>
      <c r="B25" s="461"/>
      <c r="C25" s="267">
        <v>10</v>
      </c>
      <c r="E25" s="7"/>
      <c r="F25" s="182" t="str">
        <f>' Calcs &amp; Detailed Results'!A61</f>
        <v>Active transportation</v>
      </c>
      <c r="G25" s="440">
        <f>' Calcs &amp; Detailed Results'!B61</f>
        <v>1209.6000000000001</v>
      </c>
      <c r="H25" s="441"/>
      <c r="I25" s="440">
        <f>' Calcs &amp; Detailed Results'!L61</f>
        <v>11222.327616406525</v>
      </c>
      <c r="J25" s="441"/>
    </row>
    <row r="26" spans="1:10" ht="15" x14ac:dyDescent="0.25">
      <c r="A26" s="460" t="s">
        <v>308</v>
      </c>
      <c r="B26" s="461"/>
      <c r="C26" s="267">
        <v>4</v>
      </c>
      <c r="E26" s="7"/>
      <c r="F26" s="475" t="str">
        <f>' Calcs &amp; Detailed Results'!A62</f>
        <v>Personal vehicle stock, thousands</v>
      </c>
      <c r="G26" s="476"/>
      <c r="H26" s="476"/>
      <c r="I26" s="476"/>
      <c r="J26" s="477"/>
    </row>
    <row r="27" spans="1:10" x14ac:dyDescent="0.2">
      <c r="A27" s="460" t="s">
        <v>306</v>
      </c>
      <c r="B27" s="461"/>
      <c r="C27" s="266">
        <v>100000</v>
      </c>
      <c r="E27" s="7"/>
      <c r="F27" s="182" t="str">
        <f>' Calcs &amp; Detailed Results'!A63</f>
        <v>Gas cars</v>
      </c>
      <c r="G27" s="440">
        <f>' Calcs &amp; Detailed Results'!B63</f>
        <v>11436.269686555626</v>
      </c>
      <c r="H27" s="441"/>
      <c r="I27" s="440">
        <f>' Calcs &amp; Detailed Results'!L63</f>
        <v>7335.9802410665588</v>
      </c>
      <c r="J27" s="441"/>
    </row>
    <row r="28" spans="1:10" x14ac:dyDescent="0.2">
      <c r="A28" s="460" t="s">
        <v>307</v>
      </c>
      <c r="B28" s="461"/>
      <c r="C28" s="266">
        <v>200000</v>
      </c>
      <c r="E28" s="7"/>
      <c r="F28" s="182" t="str">
        <f>' Calcs &amp; Detailed Results'!A64</f>
        <v>Electric cars (equivalents)</v>
      </c>
      <c r="G28" s="440">
        <f>' Calcs &amp; Detailed Results'!B64</f>
        <v>30</v>
      </c>
      <c r="H28" s="441"/>
      <c r="I28" s="440">
        <f>' Calcs &amp; Detailed Results'!L64</f>
        <v>5627.7009011166638</v>
      </c>
      <c r="J28" s="441"/>
    </row>
    <row r="29" spans="1:10" x14ac:dyDescent="0.2">
      <c r="A29" s="460" t="s">
        <v>309</v>
      </c>
      <c r="B29" s="461"/>
      <c r="C29" s="266">
        <v>200000</v>
      </c>
      <c r="E29" s="7"/>
      <c r="F29" s="182" t="str">
        <f>' Calcs &amp; Detailed Results'!A65</f>
        <v>Gas SUV's/light trucks</v>
      </c>
      <c r="G29" s="440">
        <f>' Calcs &amp; Detailed Results'!B65</f>
        <v>11340.799140632158</v>
      </c>
      <c r="H29" s="441"/>
      <c r="I29" s="440">
        <f>' Calcs &amp; Detailed Results'!L65</f>
        <v>7269.5017774686148</v>
      </c>
      <c r="J29" s="441"/>
    </row>
    <row r="30" spans="1:10" x14ac:dyDescent="0.2">
      <c r="A30" s="460" t="s">
        <v>314</v>
      </c>
      <c r="B30" s="461"/>
      <c r="C30" s="165">
        <f>C29+(C25*C27)+(C26*C28)</f>
        <v>2000000</v>
      </c>
      <c r="E30" s="7"/>
      <c r="F30" s="182" t="str">
        <f>' Calcs &amp; Detailed Results'!A66</f>
        <v>Electric SUV's/light trucks</v>
      </c>
      <c r="G30" s="440">
        <f>' Calcs &amp; Detailed Results'!B66</f>
        <v>1</v>
      </c>
      <c r="H30" s="441"/>
      <c r="I30" s="440">
        <f>' Calcs &amp; Detailed Results'!L66</f>
        <v>4961.1145447613762</v>
      </c>
      <c r="J30" s="441"/>
    </row>
    <row r="31" spans="1:10" x14ac:dyDescent="0.2">
      <c r="A31" s="447" t="s">
        <v>358</v>
      </c>
      <c r="B31" s="462"/>
      <c r="C31" s="177">
        <f>C24*C30/1000000</f>
        <v>1000</v>
      </c>
      <c r="E31" s="7"/>
      <c r="F31" s="173" t="s">
        <v>343</v>
      </c>
      <c r="G31" s="440">
        <f>SUM(G27:H30)</f>
        <v>22808.068827187784</v>
      </c>
      <c r="H31" s="441"/>
      <c r="I31" s="440">
        <f>SUM(I27:J30)</f>
        <v>25194.297464413212</v>
      </c>
      <c r="J31" s="441"/>
    </row>
    <row r="32" spans="1:10" ht="15" customHeight="1" x14ac:dyDescent="0.25">
      <c r="A32" s="452" t="s">
        <v>333</v>
      </c>
      <c r="B32" s="453"/>
      <c r="C32" s="176"/>
      <c r="E32" s="7"/>
      <c r="F32" s="475" t="str">
        <f>' Calcs &amp; Detailed Results'!A67</f>
        <v>Shares of personal vehicle</v>
      </c>
      <c r="G32" s="476"/>
      <c r="H32" s="476"/>
      <c r="I32" s="476"/>
      <c r="J32" s="477"/>
    </row>
    <row r="33" spans="1:20" x14ac:dyDescent="0.2">
      <c r="A33" s="449" t="s">
        <v>334</v>
      </c>
      <c r="B33" s="454"/>
      <c r="C33" s="268">
        <v>2000</v>
      </c>
      <c r="E33" s="7"/>
      <c r="F33" s="182" t="str">
        <f>' Calcs &amp; Detailed Results'!A68</f>
        <v>Gas cars</v>
      </c>
      <c r="G33" s="473">
        <f>' Calcs &amp; Detailed Results'!B68</f>
        <v>0.50141332759059853</v>
      </c>
      <c r="H33" s="474"/>
      <c r="I33" s="473">
        <f>' Calcs &amp; Detailed Results'!L68</f>
        <v>0.29117621761148865</v>
      </c>
      <c r="J33" s="474"/>
    </row>
    <row r="34" spans="1:20" x14ac:dyDescent="0.2">
      <c r="A34" s="449" t="s">
        <v>335</v>
      </c>
      <c r="B34" s="450"/>
      <c r="C34" s="268">
        <v>5000</v>
      </c>
      <c r="E34" s="7"/>
      <c r="F34" s="182" t="str">
        <f>' Calcs &amp; Detailed Results'!A69</f>
        <v>Electric cars (equivalents)</v>
      </c>
      <c r="G34" s="473">
        <f>' Calcs &amp; Detailed Results'!B69</f>
        <v>1.3153239858799117E-3</v>
      </c>
      <c r="H34" s="474"/>
      <c r="I34" s="473">
        <f>' Calcs &amp; Detailed Results'!L69</f>
        <v>0.22337201142702059</v>
      </c>
      <c r="J34" s="474"/>
    </row>
    <row r="35" spans="1:20" ht="15.75" customHeight="1" x14ac:dyDescent="0.2">
      <c r="A35" s="449" t="s">
        <v>336</v>
      </c>
      <c r="B35" s="450"/>
      <c r="C35" s="268">
        <v>30000</v>
      </c>
      <c r="E35" s="7"/>
      <c r="F35" s="182" t="str">
        <f>' Calcs &amp; Detailed Results'!A70</f>
        <v>Gas SUV's/light trucks</v>
      </c>
      <c r="G35" s="473">
        <f>' Calcs &amp; Detailed Results'!B70</f>
        <v>0.49722750429065893</v>
      </c>
      <c r="H35" s="474"/>
      <c r="I35" s="473">
        <f>' Calcs &amp; Detailed Results'!L70</f>
        <v>0.28853758624294806</v>
      </c>
      <c r="J35" s="474"/>
    </row>
    <row r="36" spans="1:20" x14ac:dyDescent="0.2">
      <c r="A36" s="455" t="s">
        <v>338</v>
      </c>
      <c r="B36" s="456"/>
      <c r="C36" s="176"/>
      <c r="E36" s="7"/>
      <c r="F36" s="182" t="str">
        <f>' Calcs &amp; Detailed Results'!A71</f>
        <v>Electric SUV's/light trucks</v>
      </c>
      <c r="G36" s="473">
        <f>' Calcs &amp; Detailed Results'!B71</f>
        <v>4.3844132862663724E-5</v>
      </c>
      <c r="H36" s="474"/>
      <c r="I36" s="473">
        <f>' Calcs &amp; Detailed Results'!L71</f>
        <v>0.19691418471854275</v>
      </c>
      <c r="J36" s="474"/>
    </row>
    <row r="37" spans="1:20" ht="15" x14ac:dyDescent="0.25">
      <c r="A37" s="449" t="s">
        <v>337</v>
      </c>
      <c r="B37" s="450"/>
      <c r="C37" s="178">
        <f>SUM('Stock projection'!B81:L81)</f>
        <v>2921.2102087629037</v>
      </c>
      <c r="E37" s="7"/>
      <c r="F37" s="475" t="str">
        <f>' Calcs &amp; Detailed Results'!A83</f>
        <v>Energy Consumption for Personal Mobility</v>
      </c>
      <c r="G37" s="476"/>
      <c r="H37" s="476"/>
      <c r="I37" s="476"/>
      <c r="J37" s="477"/>
    </row>
    <row r="38" spans="1:20" x14ac:dyDescent="0.2">
      <c r="A38" s="449" t="s">
        <v>250</v>
      </c>
      <c r="B38" s="450"/>
      <c r="C38" s="178">
        <f>SUM('Stock projection'!B82:L82)</f>
        <v>841.20710003218619</v>
      </c>
      <c r="E38" s="7"/>
      <c r="F38" s="182" t="str">
        <f>' Calcs &amp; Detailed Results'!A84</f>
        <v>Gasoline, millions of litres</v>
      </c>
      <c r="G38" s="440">
        <f>' Calcs &amp; Detailed Results'!B84</f>
        <v>35518.166310022854</v>
      </c>
      <c r="H38" s="441"/>
      <c r="I38" s="440">
        <f>' Calcs &amp; Detailed Results'!L84</f>
        <v>22500.050591995285</v>
      </c>
      <c r="J38" s="441"/>
    </row>
    <row r="39" spans="1:20" x14ac:dyDescent="0.2">
      <c r="A39" s="449" t="s">
        <v>251</v>
      </c>
      <c r="B39" s="450"/>
      <c r="C39" s="178">
        <f>SUM('Stock projection'!B83:L83)</f>
        <v>154.81332558400806</v>
      </c>
      <c r="E39" s="7"/>
      <c r="F39" s="182" t="str">
        <f>' Calcs &amp; Detailed Results'!A85</f>
        <v>Diesel, millions of litres</v>
      </c>
      <c r="G39" s="440">
        <f>' Calcs &amp; Detailed Results'!B85</f>
        <v>707.6160000000001</v>
      </c>
      <c r="H39" s="441"/>
      <c r="I39" s="440">
        <f>' Calcs &amp; Detailed Results'!L85</f>
        <v>128.72669912936891</v>
      </c>
      <c r="J39" s="441"/>
    </row>
    <row r="40" spans="1:20" ht="13.5" thickBot="1" x14ac:dyDescent="0.25">
      <c r="A40" s="451" t="s">
        <v>359</v>
      </c>
      <c r="B40" s="451"/>
      <c r="C40" s="295">
        <f>(C33*C37+C34*C38+C35*C39)/1000</f>
        <v>14692.85568520698</v>
      </c>
      <c r="E40" s="7"/>
      <c r="F40" s="182" t="str">
        <f>' Calcs &amp; Detailed Results'!A86</f>
        <v>Electricity, GW.hour</v>
      </c>
      <c r="G40" s="440">
        <f>' Calcs &amp; Detailed Results'!B86</f>
        <v>2372.2999307843334</v>
      </c>
      <c r="H40" s="441"/>
      <c r="I40" s="440">
        <f>' Calcs &amp; Detailed Results'!L86</f>
        <v>42879.928969193752</v>
      </c>
      <c r="J40" s="441"/>
    </row>
    <row r="41" spans="1:20" ht="15.75" x14ac:dyDescent="0.25">
      <c r="A41" s="296" t="s">
        <v>235</v>
      </c>
      <c r="B41" s="297"/>
      <c r="C41" s="298"/>
      <c r="E41" s="7"/>
      <c r="F41" s="475" t="str">
        <f>' Calcs &amp; Detailed Results'!A87</f>
        <v>Greenhouse gas emissions</v>
      </c>
      <c r="G41" s="476"/>
      <c r="H41" s="476"/>
      <c r="I41" s="476"/>
      <c r="J41" s="477"/>
    </row>
    <row r="42" spans="1:20" x14ac:dyDescent="0.2">
      <c r="A42" s="446" t="s">
        <v>229</v>
      </c>
      <c r="B42" s="446"/>
      <c r="C42" s="307">
        <v>25000</v>
      </c>
      <c r="F42" s="182" t="str">
        <f>' Calcs &amp; Detailed Results'!A88</f>
        <v>Gasoline, kt CO2e</v>
      </c>
      <c r="G42" s="440">
        <f>' Calcs &amp; Detailed Results'!B88</f>
        <v>81691.78251305256</v>
      </c>
      <c r="H42" s="441"/>
      <c r="I42" s="440">
        <f>' Calcs &amp; Detailed Results'!L88</f>
        <v>51750.116361589149</v>
      </c>
      <c r="J42" s="441"/>
    </row>
    <row r="43" spans="1:20" ht="15" customHeight="1" x14ac:dyDescent="0.2">
      <c r="A43" s="478" t="s">
        <v>385</v>
      </c>
      <c r="B43" s="478"/>
      <c r="C43" s="299">
        <v>500000</v>
      </c>
      <c r="E43" s="161"/>
      <c r="F43" s="182" t="str">
        <f>' Calcs &amp; Detailed Results'!A89</f>
        <v>Diesel, kt CO2e</v>
      </c>
      <c r="G43" s="440">
        <f>' Calcs &amp; Detailed Results'!B89</f>
        <v>1896.4108800000004</v>
      </c>
      <c r="H43" s="441"/>
      <c r="I43" s="440">
        <f>' Calcs &amp; Detailed Results'!L89</f>
        <v>344.98755366670872</v>
      </c>
      <c r="J43" s="441"/>
    </row>
    <row r="44" spans="1:20" ht="18.75" customHeight="1" x14ac:dyDescent="0.2">
      <c r="A44" s="446" t="s">
        <v>392</v>
      </c>
      <c r="B44" s="446"/>
      <c r="C44" s="313">
        <v>0.1</v>
      </c>
      <c r="E44" s="162"/>
      <c r="F44" s="182" t="str">
        <f>' Calcs &amp; Detailed Results'!A90</f>
        <v>Electricity, kt CO2e</v>
      </c>
      <c r="G44" s="440">
        <f>' Calcs &amp; Detailed Results'!B90</f>
        <v>298.67085459514988</v>
      </c>
      <c r="H44" s="441"/>
      <c r="I44" s="440">
        <f>' Calcs &amp; Detailed Results'!L90</f>
        <v>5398.5522083517317</v>
      </c>
      <c r="J44" s="441"/>
    </row>
    <row r="45" spans="1:20" ht="13.5" thickBot="1" x14ac:dyDescent="0.25">
      <c r="A45" s="446" t="s">
        <v>368</v>
      </c>
      <c r="B45" s="446"/>
      <c r="C45" s="294">
        <f>C42/'Stock projection'!L29</f>
        <v>0.83333333333333337</v>
      </c>
      <c r="E45" s="162"/>
      <c r="F45" s="182" t="s">
        <v>342</v>
      </c>
      <c r="G45" s="440">
        <f>SUM(G42:H44)</f>
        <v>83886.864247647711</v>
      </c>
      <c r="H45" s="441"/>
      <c r="I45" s="440">
        <f>SUM(I42:J44)</f>
        <v>57493.656123607594</v>
      </c>
      <c r="J45" s="441"/>
      <c r="R45" s="19"/>
      <c r="S45" s="19"/>
      <c r="T45" s="19"/>
    </row>
    <row r="46" spans="1:20" ht="21" thickBot="1" x14ac:dyDescent="0.25">
      <c r="A46" s="446" t="s">
        <v>369</v>
      </c>
      <c r="B46" s="446"/>
      <c r="C46" s="308">
        <f>SUMPRODUCT(' Calcs &amp; Detailed Results'!B162:L162,' Calcs &amp; Detailed Results'!B170:L170)/1000000</f>
        <v>6285.0170684250006</v>
      </c>
      <c r="E46" s="163"/>
      <c r="F46" s="183" t="s">
        <v>252</v>
      </c>
      <c r="G46" s="469">
        <f>G19</f>
        <v>2020</v>
      </c>
      <c r="H46" s="469"/>
      <c r="I46" s="469">
        <v>2030</v>
      </c>
      <c r="J46" s="469"/>
      <c r="R46" s="19"/>
      <c r="S46" s="19"/>
      <c r="T46" s="19"/>
    </row>
    <row r="47" spans="1:20" ht="15.75" thickBot="1" x14ac:dyDescent="0.25">
      <c r="A47" s="446" t="s">
        <v>419</v>
      </c>
      <c r="B47" s="446"/>
      <c r="C47" s="293">
        <v>125</v>
      </c>
      <c r="E47" s="163"/>
      <c r="F47" s="198" t="s">
        <v>329</v>
      </c>
      <c r="G47" s="442"/>
      <c r="H47" s="442"/>
      <c r="I47" s="442"/>
      <c r="J47" s="442"/>
      <c r="R47" s="19"/>
      <c r="S47" s="19"/>
      <c r="T47" s="19"/>
    </row>
    <row r="48" spans="1:20" ht="15.75" x14ac:dyDescent="0.25">
      <c r="A48" s="317" t="s">
        <v>389</v>
      </c>
      <c r="B48" s="318"/>
      <c r="C48" s="321"/>
      <c r="E48" s="164"/>
      <c r="F48" s="185" t="s">
        <v>322</v>
      </c>
      <c r="G48" s="442">
        <f>'Stock projection'!B65</f>
        <v>3762.4231773175684</v>
      </c>
      <c r="H48" s="442"/>
      <c r="I48" s="442">
        <f>'Stock projection'!L65-'The Low Carbon Scenario'!I49</f>
        <v>3325.1214387328901</v>
      </c>
      <c r="J48" s="442"/>
      <c r="O48" s="19"/>
      <c r="P48" s="19"/>
      <c r="Q48" s="19"/>
      <c r="R48" s="19"/>
      <c r="S48" s="19"/>
      <c r="T48" s="19"/>
    </row>
    <row r="49" spans="1:20" x14ac:dyDescent="0.2">
      <c r="A49" s="509" t="s">
        <v>390</v>
      </c>
      <c r="B49" s="509"/>
      <c r="C49" s="307">
        <v>25000</v>
      </c>
      <c r="E49" s="162"/>
      <c r="F49" s="185" t="s">
        <v>323</v>
      </c>
      <c r="G49" s="442">
        <f>'Stock projection'!B85</f>
        <v>0</v>
      </c>
      <c r="H49" s="442"/>
      <c r="I49" s="442">
        <f>'Stock projection'!L85</f>
        <v>2921.2102087629037</v>
      </c>
      <c r="J49" s="442"/>
      <c r="O49" s="19"/>
      <c r="P49" s="19"/>
      <c r="Q49" s="19"/>
      <c r="R49" s="19"/>
      <c r="S49" s="19"/>
      <c r="T49" s="19"/>
    </row>
    <row r="50" spans="1:20" x14ac:dyDescent="0.2">
      <c r="A50" s="510" t="s">
        <v>391</v>
      </c>
      <c r="B50" s="510"/>
      <c r="C50" s="299">
        <v>150000</v>
      </c>
      <c r="E50" s="162"/>
      <c r="F50" s="185" t="s">
        <v>324</v>
      </c>
      <c r="G50" s="442">
        <f>'Stock projection'!B66</f>
        <v>1893.5798665125683</v>
      </c>
      <c r="H50" s="442"/>
      <c r="I50" s="442">
        <f>'Stock projection'!L66-'The Low Carbon Scenario'!I51</f>
        <v>2016.1256365270169</v>
      </c>
      <c r="J50" s="442"/>
      <c r="O50" s="19"/>
      <c r="P50" s="19"/>
      <c r="Q50" s="19"/>
      <c r="R50" s="19"/>
      <c r="S50" s="19"/>
      <c r="T50" s="19"/>
    </row>
    <row r="51" spans="1:20" x14ac:dyDescent="0.2">
      <c r="A51" s="509" t="s">
        <v>392</v>
      </c>
      <c r="B51" s="509"/>
      <c r="C51" s="313">
        <v>0.1</v>
      </c>
      <c r="E51" s="7"/>
      <c r="F51" s="185" t="s">
        <v>325</v>
      </c>
      <c r="G51" s="442">
        <f>'Stock projection'!B86</f>
        <v>0</v>
      </c>
      <c r="H51" s="442"/>
      <c r="I51" s="442">
        <f>'Stock projection'!L86</f>
        <v>841.20710003218619</v>
      </c>
      <c r="J51" s="442"/>
      <c r="O51" s="19"/>
      <c r="P51" s="19"/>
      <c r="Q51" s="19"/>
      <c r="R51" s="19"/>
      <c r="S51" s="19"/>
      <c r="T51" s="19"/>
    </row>
    <row r="52" spans="1:20" ht="13.5" thickBot="1" x14ac:dyDescent="0.25">
      <c r="A52" s="509" t="s">
        <v>393</v>
      </c>
      <c r="B52" s="509"/>
      <c r="C52" s="294">
        <f>C49/Buses!AD12/1000</f>
        <v>0.49607111675529802</v>
      </c>
      <c r="E52" s="7"/>
      <c r="F52" s="185" t="s">
        <v>340</v>
      </c>
      <c r="G52" s="442">
        <f>'Stock projection'!B67</f>
        <v>499.34187352800001</v>
      </c>
      <c r="H52" s="442"/>
      <c r="I52" s="442">
        <f>'Stock projection'!L67-'The Low Carbon Scenario'!I53</f>
        <v>453.88163191635186</v>
      </c>
      <c r="J52" s="442"/>
      <c r="O52" s="19"/>
      <c r="P52" s="19"/>
      <c r="Q52" s="19"/>
      <c r="R52" s="19"/>
      <c r="S52" s="19"/>
      <c r="T52" s="19"/>
    </row>
    <row r="53" spans="1:20" x14ac:dyDescent="0.2">
      <c r="A53" s="510" t="s">
        <v>369</v>
      </c>
      <c r="B53" s="510"/>
      <c r="C53" s="324">
        <f>' Calcs &amp; Detailed Results'!M183</f>
        <v>1885.5051205275001</v>
      </c>
      <c r="E53" s="7"/>
      <c r="F53" s="195" t="s">
        <v>326</v>
      </c>
      <c r="G53" s="507">
        <f>'Stock projection'!B87</f>
        <v>0</v>
      </c>
      <c r="H53" s="507"/>
      <c r="I53" s="507">
        <f>'Stock projection'!L87</f>
        <v>154.81332558400806</v>
      </c>
      <c r="J53" s="507"/>
      <c r="O53" s="19"/>
      <c r="P53" s="19"/>
      <c r="Q53" s="19"/>
      <c r="R53" s="19"/>
      <c r="S53" s="19"/>
      <c r="T53" s="19"/>
    </row>
    <row r="54" spans="1:20" ht="13.5" thickBot="1" x14ac:dyDescent="0.25">
      <c r="A54" s="509" t="s">
        <v>419</v>
      </c>
      <c r="B54" s="509"/>
      <c r="C54" s="325">
        <v>60</v>
      </c>
      <c r="E54" s="7"/>
      <c r="F54" s="196" t="s">
        <v>348</v>
      </c>
      <c r="G54" s="508">
        <f>SUM(G48:H53)</f>
        <v>6155.3449173581366</v>
      </c>
      <c r="H54" s="508"/>
      <c r="I54" s="508">
        <f>SUM(I48:J53)</f>
        <v>9712.3593415553569</v>
      </c>
      <c r="J54" s="508"/>
      <c r="O54" s="19"/>
      <c r="P54" s="19"/>
      <c r="Q54" s="19"/>
      <c r="R54" s="19"/>
      <c r="S54" s="19"/>
      <c r="T54" s="19"/>
    </row>
    <row r="55" spans="1:20" ht="20.25" x14ac:dyDescent="0.3">
      <c r="A55" s="483" t="s">
        <v>284</v>
      </c>
      <c r="B55" s="484"/>
      <c r="C55" s="485"/>
      <c r="E55" s="7"/>
      <c r="F55" s="184" t="s">
        <v>327</v>
      </c>
      <c r="G55" s="442"/>
      <c r="H55" s="442"/>
      <c r="I55" s="442"/>
      <c r="J55" s="442"/>
      <c r="O55" s="19"/>
      <c r="P55" s="19"/>
      <c r="Q55" s="19"/>
      <c r="R55" s="506"/>
      <c r="S55" s="506"/>
      <c r="T55" s="19"/>
    </row>
    <row r="56" spans="1:20" ht="25.5" x14ac:dyDescent="0.2">
      <c r="A56" s="150" t="s">
        <v>279</v>
      </c>
      <c r="B56" s="153" t="s">
        <v>6</v>
      </c>
      <c r="C56" s="154" t="s">
        <v>280</v>
      </c>
      <c r="E56" s="7"/>
      <c r="F56" s="185" t="s">
        <v>249</v>
      </c>
      <c r="G56" s="442">
        <f>G49/G48</f>
        <v>0</v>
      </c>
      <c r="H56" s="442"/>
      <c r="I56" s="505">
        <f>I49/(I48+I49)</f>
        <v>0.46766812484797238</v>
      </c>
      <c r="J56" s="505"/>
      <c r="O56" s="19"/>
      <c r="P56" s="19"/>
      <c r="Q56" s="19"/>
      <c r="R56" s="19"/>
      <c r="S56" s="19"/>
      <c r="T56" s="19"/>
    </row>
    <row r="57" spans="1:20" x14ac:dyDescent="0.2">
      <c r="A57" s="151" t="s">
        <v>267</v>
      </c>
      <c r="B57" s="269">
        <v>0.1</v>
      </c>
      <c r="C57" s="270">
        <v>0.1</v>
      </c>
      <c r="E57" s="7"/>
      <c r="F57" s="185" t="s">
        <v>250</v>
      </c>
      <c r="G57" s="442">
        <f>G51/G50</f>
        <v>0</v>
      </c>
      <c r="H57" s="442"/>
      <c r="I57" s="505">
        <f>I51/(I50+I50)</f>
        <v>0.20861971218253333</v>
      </c>
      <c r="J57" s="505"/>
      <c r="O57" s="19"/>
      <c r="P57" s="19"/>
      <c r="Q57" s="19"/>
      <c r="R57" s="19"/>
      <c r="S57" s="19"/>
      <c r="T57" s="19"/>
    </row>
    <row r="58" spans="1:20" x14ac:dyDescent="0.2">
      <c r="A58" s="151" t="s">
        <v>268</v>
      </c>
      <c r="B58" s="271">
        <v>8</v>
      </c>
      <c r="C58" s="267">
        <v>11</v>
      </c>
      <c r="E58" s="7"/>
      <c r="F58" s="185" t="s">
        <v>251</v>
      </c>
      <c r="G58" s="442">
        <f>G53/G52</f>
        <v>0</v>
      </c>
      <c r="H58" s="442"/>
      <c r="I58" s="505">
        <f>I53/(I52+I53)</f>
        <v>0.25433646800649984</v>
      </c>
      <c r="J58" s="505"/>
      <c r="O58" s="19"/>
      <c r="P58" s="19"/>
      <c r="Q58" s="19"/>
      <c r="R58" s="19"/>
      <c r="S58" s="19"/>
      <c r="T58" s="19"/>
    </row>
    <row r="59" spans="1:20" ht="15" x14ac:dyDescent="0.25">
      <c r="A59" s="151" t="s">
        <v>281</v>
      </c>
      <c r="B59" s="271">
        <v>20</v>
      </c>
      <c r="C59" s="267">
        <v>27.5</v>
      </c>
      <c r="E59" s="7"/>
      <c r="F59" s="184" t="s">
        <v>347</v>
      </c>
      <c r="G59" s="442"/>
      <c r="H59" s="442"/>
      <c r="I59" s="442"/>
      <c r="J59" s="442"/>
      <c r="O59" s="19"/>
      <c r="P59" s="19"/>
      <c r="Q59" s="19"/>
      <c r="R59" s="19"/>
      <c r="S59" s="19"/>
      <c r="T59" s="19"/>
    </row>
    <row r="60" spans="1:20" x14ac:dyDescent="0.2">
      <c r="A60" s="151" t="s">
        <v>282</v>
      </c>
      <c r="B60" s="272">
        <v>2500</v>
      </c>
      <c r="C60" s="266">
        <v>15000</v>
      </c>
      <c r="E60" s="7"/>
      <c r="F60" s="185" t="s">
        <v>82</v>
      </c>
      <c r="G60" s="442">
        <f>' Calcs &amp; Detailed Results'!B122</f>
        <v>247.65774322375162</v>
      </c>
      <c r="H60" s="442"/>
      <c r="I60" s="442">
        <f>' Calcs &amp; Detailed Results'!L122</f>
        <v>218.87279358315379</v>
      </c>
      <c r="J60" s="442"/>
      <c r="O60" s="19"/>
      <c r="P60" s="506"/>
      <c r="Q60" s="506"/>
      <c r="R60" s="19"/>
      <c r="S60" s="19"/>
      <c r="T60" s="19"/>
    </row>
    <row r="61" spans="1:20" ht="13.5" thickBot="1" x14ac:dyDescent="0.25">
      <c r="A61" s="152" t="s">
        <v>283</v>
      </c>
      <c r="B61" s="273">
        <v>7.0000000000000007E-2</v>
      </c>
      <c r="C61" s="274">
        <v>0.1</v>
      </c>
      <c r="F61" s="185" t="s">
        <v>83</v>
      </c>
      <c r="G61" s="442">
        <f>' Calcs &amp; Detailed Results'!B123+' Calcs &amp; Detailed Results'!B124</f>
        <v>833.1567588326152</v>
      </c>
      <c r="H61" s="442"/>
      <c r="I61" s="442">
        <f>' Calcs &amp; Detailed Results'!D123+' Calcs &amp; Detailed Results'!L124</f>
        <v>816.54607179532172</v>
      </c>
      <c r="J61" s="442"/>
      <c r="O61" s="19"/>
      <c r="P61" s="19"/>
      <c r="Q61" s="19"/>
      <c r="R61" s="19"/>
      <c r="S61" s="19"/>
      <c r="T61" s="19"/>
    </row>
    <row r="62" spans="1:20" ht="20.25" x14ac:dyDescent="0.3">
      <c r="A62" s="479" t="s">
        <v>273</v>
      </c>
      <c r="B62" s="480"/>
      <c r="C62" s="480"/>
      <c r="D62" s="481"/>
      <c r="F62" s="185" t="s">
        <v>328</v>
      </c>
      <c r="G62" s="442">
        <f>' Calcs &amp; Detailed Results'!B130</f>
        <v>0</v>
      </c>
      <c r="H62" s="442"/>
      <c r="I62" s="442">
        <f>' Calcs &amp; Detailed Results'!L130</f>
        <v>35.815409000992204</v>
      </c>
      <c r="J62" s="442"/>
      <c r="O62" s="19"/>
      <c r="P62" s="19"/>
      <c r="Q62" s="19"/>
      <c r="R62" s="19"/>
      <c r="S62" s="19"/>
      <c r="T62" s="19"/>
    </row>
    <row r="63" spans="1:20" ht="25.5" x14ac:dyDescent="0.2">
      <c r="A63" s="171" t="s">
        <v>265</v>
      </c>
      <c r="B63" s="166" t="s">
        <v>249</v>
      </c>
      <c r="C63" s="166" t="s">
        <v>250</v>
      </c>
      <c r="D63" s="167" t="s">
        <v>251</v>
      </c>
      <c r="F63" s="197" t="s">
        <v>346</v>
      </c>
      <c r="G63" s="482">
        <f>SUM(G60:H62)</f>
        <v>1080.8145020563668</v>
      </c>
      <c r="H63" s="482"/>
      <c r="I63" s="482">
        <f>SUM(I60:J62)</f>
        <v>1071.2342743794677</v>
      </c>
      <c r="J63" s="482"/>
      <c r="O63" s="19"/>
      <c r="P63" s="19"/>
      <c r="Q63" s="19"/>
    </row>
    <row r="64" spans="1:20" ht="15" x14ac:dyDescent="0.25">
      <c r="A64" s="148" t="s">
        <v>266</v>
      </c>
      <c r="B64" s="269">
        <v>5.1999999999999998E-2</v>
      </c>
      <c r="C64" s="269">
        <v>4.2000000000000003E-2</v>
      </c>
      <c r="D64" s="270">
        <v>0.02</v>
      </c>
      <c r="F64" s="184" t="s">
        <v>345</v>
      </c>
      <c r="G64" s="442"/>
      <c r="H64" s="442"/>
      <c r="I64" s="442"/>
      <c r="J64" s="442"/>
      <c r="O64" s="19"/>
      <c r="P64" s="19"/>
      <c r="Q64" s="19"/>
    </row>
    <row r="65" spans="1:17" x14ac:dyDescent="0.2">
      <c r="A65" s="148" t="s">
        <v>267</v>
      </c>
      <c r="B65" s="269">
        <v>0.1</v>
      </c>
      <c r="C65" s="269">
        <v>7.4999999999999997E-2</v>
      </c>
      <c r="D65" s="270">
        <v>7.4999999999999997E-2</v>
      </c>
      <c r="F65" s="185" t="s">
        <v>249</v>
      </c>
      <c r="G65" s="442">
        <f>' Calcs &amp; Detailed Results'!B137</f>
        <v>16.753317923959667</v>
      </c>
      <c r="H65" s="442"/>
      <c r="I65" s="442">
        <f>' Calcs &amp; Detailed Results'!L137</f>
        <v>17.397331045970859</v>
      </c>
      <c r="J65" s="442"/>
      <c r="O65" s="19"/>
      <c r="P65" s="19"/>
      <c r="Q65" s="19"/>
    </row>
    <row r="66" spans="1:17" x14ac:dyDescent="0.2">
      <c r="A66" s="148" t="s">
        <v>269</v>
      </c>
      <c r="B66" s="275">
        <v>17600</v>
      </c>
      <c r="C66" s="275">
        <v>22500</v>
      </c>
      <c r="D66" s="276">
        <v>82000</v>
      </c>
      <c r="F66" s="185" t="s">
        <v>250</v>
      </c>
      <c r="G66" s="442">
        <f>' Calcs &amp; Detailed Results'!B138</f>
        <v>23.978401849648645</v>
      </c>
      <c r="H66" s="442"/>
      <c r="I66" s="442">
        <f>' Calcs &amp; Detailed Results'!L138</f>
        <v>27.022567627366712</v>
      </c>
      <c r="J66" s="442"/>
      <c r="O66" s="19"/>
      <c r="P66" s="19"/>
      <c r="Q66" s="19"/>
    </row>
    <row r="67" spans="1:17" x14ac:dyDescent="0.2">
      <c r="A67" s="148" t="s">
        <v>268</v>
      </c>
      <c r="B67" s="271">
        <v>11</v>
      </c>
      <c r="C67" s="271">
        <v>21</v>
      </c>
      <c r="D67" s="267">
        <v>31</v>
      </c>
      <c r="F67" s="185" t="s">
        <v>251</v>
      </c>
      <c r="G67" s="442">
        <f>' Calcs &amp; Detailed Results'!B138</f>
        <v>23.978401849648645</v>
      </c>
      <c r="H67" s="442"/>
      <c r="I67" s="442">
        <f>' Calcs &amp; Detailed Results'!L138</f>
        <v>27.022567627366712</v>
      </c>
      <c r="J67" s="442"/>
      <c r="O67" s="19"/>
      <c r="P67" s="19"/>
      <c r="Q67" s="19"/>
    </row>
    <row r="68" spans="1:17" x14ac:dyDescent="0.2">
      <c r="A68" s="148" t="s">
        <v>270</v>
      </c>
      <c r="B68" s="271">
        <v>40</v>
      </c>
      <c r="C68" s="271">
        <v>80</v>
      </c>
      <c r="D68" s="267">
        <v>125</v>
      </c>
      <c r="F68" s="197" t="s">
        <v>344</v>
      </c>
      <c r="G68" s="482">
        <f>' Calcs &amp; Detailed Results'!B139</f>
        <v>34.017964739219103</v>
      </c>
      <c r="H68" s="482"/>
      <c r="I68" s="482">
        <f>' Calcs &amp; Detailed Results'!L139</f>
        <v>31.350101041799491</v>
      </c>
      <c r="J68" s="482"/>
    </row>
    <row r="69" spans="1:17" x14ac:dyDescent="0.2">
      <c r="A69" s="148" t="s">
        <v>271</v>
      </c>
      <c r="B69" s="272">
        <v>2500</v>
      </c>
      <c r="C69" s="272">
        <v>20000</v>
      </c>
      <c r="D69" s="266">
        <v>65000</v>
      </c>
    </row>
    <row r="70" spans="1:17" ht="13.5" thickBot="1" x14ac:dyDescent="0.25">
      <c r="A70" s="155" t="s">
        <v>272</v>
      </c>
      <c r="B70" s="277">
        <v>0.1</v>
      </c>
      <c r="C70" s="277">
        <v>0.04</v>
      </c>
      <c r="D70" s="278">
        <v>0.04</v>
      </c>
    </row>
    <row r="71" spans="1:17" ht="20.25" x14ac:dyDescent="0.3">
      <c r="A71" s="200" t="s">
        <v>313</v>
      </c>
      <c r="B71" s="168" t="s">
        <v>301</v>
      </c>
      <c r="C71" s="169">
        <v>2030</v>
      </c>
    </row>
    <row r="72" spans="1:17" x14ac:dyDescent="0.2">
      <c r="A72" s="149" t="s">
        <v>320</v>
      </c>
      <c r="B72" s="115">
        <f>' Calcs &amp; Detailed Results'!B45</f>
        <v>16000</v>
      </c>
      <c r="C72" s="279">
        <v>16000</v>
      </c>
    </row>
    <row r="73" spans="1:17" ht="15" x14ac:dyDescent="0.25">
      <c r="A73" s="470" t="s">
        <v>220</v>
      </c>
      <c r="B73" s="471"/>
      <c r="C73" s="472"/>
    </row>
    <row r="74" spans="1:17" x14ac:dyDescent="0.2">
      <c r="A74" s="149" t="s">
        <v>46</v>
      </c>
      <c r="B74" s="116">
        <f>' Calcs &amp; Detailed Results'!B51</f>
        <v>2E-3</v>
      </c>
      <c r="C74" s="145">
        <f>B74+C21</f>
        <v>1.7000000000000001E-2</v>
      </c>
    </row>
    <row r="75" spans="1:17" x14ac:dyDescent="0.2">
      <c r="A75" s="149" t="s">
        <v>47</v>
      </c>
      <c r="B75" s="117">
        <f>' Calcs &amp; Detailed Results'!B49+' Calcs &amp; Detailed Results'!B50</f>
        <v>5.3999999999999999E-2</v>
      </c>
      <c r="C75" s="280">
        <v>5.3999999999999999E-2</v>
      </c>
    </row>
    <row r="76" spans="1:17" x14ac:dyDescent="0.2">
      <c r="A76" s="149" t="s">
        <v>45</v>
      </c>
      <c r="B76" s="45">
        <f>1-B74-B75</f>
        <v>0.94399999999999995</v>
      </c>
      <c r="C76" s="146">
        <f>1-C74-C75</f>
        <v>0.92899999999999994</v>
      </c>
    </row>
    <row r="77" spans="1:17" x14ac:dyDescent="0.2">
      <c r="A77" s="149" t="s">
        <v>302</v>
      </c>
      <c r="B77" s="123">
        <f>B72*B74/365</f>
        <v>8.7671232876712329E-2</v>
      </c>
      <c r="C77" s="147">
        <f>C72*C74/365</f>
        <v>0.74520547945205484</v>
      </c>
    </row>
    <row r="78" spans="1:17" ht="15" x14ac:dyDescent="0.25">
      <c r="A78" s="464" t="s">
        <v>48</v>
      </c>
      <c r="B78" s="465"/>
      <c r="C78" s="466"/>
    </row>
    <row r="79" spans="1:17" x14ac:dyDescent="0.2">
      <c r="A79" s="149" t="s">
        <v>414</v>
      </c>
      <c r="B79" s="114">
        <v>60</v>
      </c>
      <c r="C79" s="279">
        <v>60</v>
      </c>
    </row>
    <row r="80" spans="1:17" x14ac:dyDescent="0.2">
      <c r="A80" s="149" t="s">
        <v>361</v>
      </c>
      <c r="B80" s="119">
        <f>eprice</f>
        <v>0.12</v>
      </c>
      <c r="C80" s="281">
        <v>0.12</v>
      </c>
    </row>
    <row r="81" spans="1:3" x14ac:dyDescent="0.2">
      <c r="A81" s="149" t="s">
        <v>221</v>
      </c>
      <c r="B81" s="119">
        <f>gasolineprperL</f>
        <v>1</v>
      </c>
      <c r="C81" s="281">
        <v>1</v>
      </c>
    </row>
    <row r="82" spans="1:3" x14ac:dyDescent="0.2">
      <c r="A82" s="149" t="s">
        <v>222</v>
      </c>
      <c r="B82" s="119">
        <f>dieselpriceperL</f>
        <v>1</v>
      </c>
      <c r="C82" s="282">
        <v>1</v>
      </c>
    </row>
    <row r="83" spans="1:3" x14ac:dyDescent="0.2">
      <c r="A83" s="149" t="s">
        <v>360</v>
      </c>
      <c r="B83" s="115">
        <f>gfactorkwh</f>
        <v>125.89928057553956</v>
      </c>
      <c r="C83" s="267">
        <v>126</v>
      </c>
    </row>
    <row r="84" spans="1:3" x14ac:dyDescent="0.2">
      <c r="A84" s="467" t="s">
        <v>316</v>
      </c>
      <c r="B84" s="468"/>
      <c r="C84" s="283">
        <v>7.4</v>
      </c>
    </row>
  </sheetData>
  <sheetProtection algorithmName="SHA-512" hashValue="c//ezVt2lBZbbGyVfxv57XbjtpkFTdZa2McGZzSm4l3+sMFu+Su1zATSz7mSaWHGLhZXEcuv6Vj1oC+hI1UfOA==" saltValue="+9lQZaafjyQg12jMLO8YFQ==" spinCount="100000" sheet="1"/>
  <mergeCells count="145">
    <mergeCell ref="G39:H39"/>
    <mergeCell ref="I50:J50"/>
    <mergeCell ref="F15:Q15"/>
    <mergeCell ref="G30:H30"/>
    <mergeCell ref="G58:H58"/>
    <mergeCell ref="G29:H29"/>
    <mergeCell ref="A49:B49"/>
    <mergeCell ref="A50:B50"/>
    <mergeCell ref="A51:B51"/>
    <mergeCell ref="A52:B52"/>
    <mergeCell ref="A53:B53"/>
    <mergeCell ref="A54:B54"/>
    <mergeCell ref="G45:H45"/>
    <mergeCell ref="I36:J36"/>
    <mergeCell ref="G35:H35"/>
    <mergeCell ref="G34:H34"/>
    <mergeCell ref="G33:H33"/>
    <mergeCell ref="I35:J35"/>
    <mergeCell ref="I34:J34"/>
    <mergeCell ref="F37:J37"/>
    <mergeCell ref="F41:J41"/>
    <mergeCell ref="I42:J42"/>
    <mergeCell ref="I40:J40"/>
    <mergeCell ref="I39:J39"/>
    <mergeCell ref="I38:J38"/>
    <mergeCell ref="G40:H40"/>
    <mergeCell ref="G38:H38"/>
    <mergeCell ref="P60:Q60"/>
    <mergeCell ref="R55:S55"/>
    <mergeCell ref="G49:H49"/>
    <mergeCell ref="I49:J49"/>
    <mergeCell ref="G60:H60"/>
    <mergeCell ref="I60:J60"/>
    <mergeCell ref="G61:H61"/>
    <mergeCell ref="I61:J61"/>
    <mergeCell ref="I53:J53"/>
    <mergeCell ref="G55:H55"/>
    <mergeCell ref="I55:J55"/>
    <mergeCell ref="G56:H56"/>
    <mergeCell ref="I56:J56"/>
    <mergeCell ref="G57:H57"/>
    <mergeCell ref="I57:J57"/>
    <mergeCell ref="G54:H54"/>
    <mergeCell ref="I54:J54"/>
    <mergeCell ref="G53:H53"/>
    <mergeCell ref="I52:J52"/>
    <mergeCell ref="G52:H52"/>
    <mergeCell ref="I51:J51"/>
    <mergeCell ref="G51:H51"/>
    <mergeCell ref="A17:C17"/>
    <mergeCell ref="G50:H50"/>
    <mergeCell ref="G36:H36"/>
    <mergeCell ref="A27:B27"/>
    <mergeCell ref="A28:B28"/>
    <mergeCell ref="A29:B29"/>
    <mergeCell ref="F21:J21"/>
    <mergeCell ref="G19:H19"/>
    <mergeCell ref="G68:H68"/>
    <mergeCell ref="I68:J68"/>
    <mergeCell ref="G64:H64"/>
    <mergeCell ref="I64:J64"/>
    <mergeCell ref="G65:H65"/>
    <mergeCell ref="I58:J58"/>
    <mergeCell ref="G59:H59"/>
    <mergeCell ref="I59:J59"/>
    <mergeCell ref="G66:H66"/>
    <mergeCell ref="I66:J66"/>
    <mergeCell ref="G62:H62"/>
    <mergeCell ref="I65:J65"/>
    <mergeCell ref="I62:J62"/>
    <mergeCell ref="G28:H28"/>
    <mergeCell ref="G27:H27"/>
    <mergeCell ref="G25:H25"/>
    <mergeCell ref="I46:J46"/>
    <mergeCell ref="G31:H31"/>
    <mergeCell ref="A1:B1"/>
    <mergeCell ref="F1:Q1"/>
    <mergeCell ref="A16:C16"/>
    <mergeCell ref="A24:B24"/>
    <mergeCell ref="A25:B25"/>
    <mergeCell ref="G22:H22"/>
    <mergeCell ref="G23:H23"/>
    <mergeCell ref="G24:H24"/>
    <mergeCell ref="A26:B26"/>
    <mergeCell ref="I27:J27"/>
    <mergeCell ref="A22:B22"/>
    <mergeCell ref="I20:J20"/>
    <mergeCell ref="I22:J22"/>
    <mergeCell ref="I23:J23"/>
    <mergeCell ref="I24:J24"/>
    <mergeCell ref="I25:J25"/>
    <mergeCell ref="F26:J26"/>
    <mergeCell ref="F9:Q9"/>
    <mergeCell ref="A18:B18"/>
    <mergeCell ref="A19:B19"/>
    <mergeCell ref="A20:B20"/>
    <mergeCell ref="A21:B21"/>
    <mergeCell ref="G42:H42"/>
    <mergeCell ref="I19:J19"/>
    <mergeCell ref="A78:C78"/>
    <mergeCell ref="A84:B84"/>
    <mergeCell ref="G46:H46"/>
    <mergeCell ref="A73:C73"/>
    <mergeCell ref="I28:J28"/>
    <mergeCell ref="I29:J29"/>
    <mergeCell ref="I30:J30"/>
    <mergeCell ref="I33:J33"/>
    <mergeCell ref="F32:J32"/>
    <mergeCell ref="G44:H44"/>
    <mergeCell ref="I44:J44"/>
    <mergeCell ref="I43:J43"/>
    <mergeCell ref="A42:B42"/>
    <mergeCell ref="A43:B43"/>
    <mergeCell ref="A62:D62"/>
    <mergeCell ref="I31:J31"/>
    <mergeCell ref="I45:J45"/>
    <mergeCell ref="G67:H67"/>
    <mergeCell ref="I67:J67"/>
    <mergeCell ref="G63:H63"/>
    <mergeCell ref="I63:J63"/>
    <mergeCell ref="A55:C55"/>
    <mergeCell ref="G43:H43"/>
    <mergeCell ref="G48:H48"/>
    <mergeCell ref="F13:Q13"/>
    <mergeCell ref="A45:B45"/>
    <mergeCell ref="A46:B46"/>
    <mergeCell ref="A47:B47"/>
    <mergeCell ref="A44:B44"/>
    <mergeCell ref="G20:H20"/>
    <mergeCell ref="A23:B23"/>
    <mergeCell ref="A38:B38"/>
    <mergeCell ref="A39:B39"/>
    <mergeCell ref="A40:B40"/>
    <mergeCell ref="A32:B32"/>
    <mergeCell ref="A33:B33"/>
    <mergeCell ref="A34:B34"/>
    <mergeCell ref="A35:B35"/>
    <mergeCell ref="A36:B36"/>
    <mergeCell ref="A37:B37"/>
    <mergeCell ref="F18:J18"/>
    <mergeCell ref="I48:J48"/>
    <mergeCell ref="G47:H47"/>
    <mergeCell ref="I47:J47"/>
    <mergeCell ref="A30:B30"/>
    <mergeCell ref="A31:B31"/>
  </mergeCells>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P226"/>
  <sheetViews>
    <sheetView topLeftCell="A166" workbookViewId="0">
      <selection activeCell="D183" sqref="D183"/>
    </sheetView>
  </sheetViews>
  <sheetFormatPr defaultRowHeight="12.75" x14ac:dyDescent="0.2"/>
  <cols>
    <col min="1" max="1" width="71.85546875" customWidth="1"/>
    <col min="2" max="2" width="16.42578125" customWidth="1"/>
    <col min="3" max="3" width="14.85546875" bestFit="1" customWidth="1"/>
    <col min="4" max="4" width="11.85546875" bestFit="1" customWidth="1"/>
    <col min="5" max="12" width="11.5703125" bestFit="1" customWidth="1"/>
    <col min="13" max="13" width="13.140625" bestFit="1" customWidth="1"/>
    <col min="14" max="14" width="19" customWidth="1"/>
    <col min="16" max="16" width="20.5703125" bestFit="1" customWidth="1"/>
  </cols>
  <sheetData>
    <row r="1" spans="1:13" ht="20.25" x14ac:dyDescent="0.3">
      <c r="A1" s="428" t="s">
        <v>432</v>
      </c>
      <c r="B1" s="427">
        <v>2020</v>
      </c>
      <c r="C1" s="427">
        <f t="shared" ref="C1:L1" si="0">B1+1</f>
        <v>2021</v>
      </c>
      <c r="D1" s="427">
        <f t="shared" si="0"/>
        <v>2022</v>
      </c>
      <c r="E1" s="427">
        <f t="shared" si="0"/>
        <v>2023</v>
      </c>
      <c r="F1" s="427">
        <f t="shared" si="0"/>
        <v>2024</v>
      </c>
      <c r="G1" s="427">
        <f t="shared" si="0"/>
        <v>2025</v>
      </c>
      <c r="H1" s="427">
        <f t="shared" si="0"/>
        <v>2026</v>
      </c>
      <c r="I1" s="427">
        <f t="shared" si="0"/>
        <v>2027</v>
      </c>
      <c r="J1" s="427">
        <f t="shared" si="0"/>
        <v>2028</v>
      </c>
      <c r="K1" s="427">
        <f t="shared" si="0"/>
        <v>2029</v>
      </c>
      <c r="L1" s="427">
        <f t="shared" si="0"/>
        <v>2030</v>
      </c>
      <c r="M1" s="427" t="s">
        <v>435</v>
      </c>
    </row>
    <row r="2" spans="1:13" ht="15.75" x14ac:dyDescent="0.25">
      <c r="A2" s="429" t="s">
        <v>433</v>
      </c>
      <c r="B2" s="242"/>
      <c r="C2" s="242"/>
      <c r="D2" s="242"/>
      <c r="E2" s="242"/>
      <c r="F2" s="242"/>
      <c r="G2" s="242"/>
      <c r="H2" s="242"/>
      <c r="I2" s="242"/>
      <c r="J2" s="242"/>
      <c r="K2" s="242"/>
      <c r="L2" s="242"/>
      <c r="M2" s="242">
        <f>SUM(B2:L2)</f>
        <v>0</v>
      </c>
    </row>
    <row r="3" spans="1:13" x14ac:dyDescent="0.2">
      <c r="A3" s="421" t="s">
        <v>356</v>
      </c>
      <c r="B3" s="244">
        <f t="shared" ref="B3:L3" si="1">B110</f>
        <v>81.771187039179551</v>
      </c>
      <c r="C3" s="244">
        <f t="shared" si="1"/>
        <v>1112.2578510733322</v>
      </c>
      <c r="D3" s="244">
        <f t="shared" si="1"/>
        <v>2335.928609196304</v>
      </c>
      <c r="E3" s="244">
        <f t="shared" si="1"/>
        <v>3580.6240774226471</v>
      </c>
      <c r="F3" s="244">
        <f t="shared" si="1"/>
        <v>4543.4440047654616</v>
      </c>
      <c r="G3" s="244">
        <f t="shared" si="1"/>
        <v>5851.9461544526539</v>
      </c>
      <c r="H3" s="244">
        <f t="shared" si="1"/>
        <v>7304.2130140795907</v>
      </c>
      <c r="I3" s="244">
        <f t="shared" si="1"/>
        <v>8527.365062284438</v>
      </c>
      <c r="J3" s="244">
        <f t="shared" si="1"/>
        <v>9254.2150787044975</v>
      </c>
      <c r="K3" s="244">
        <f t="shared" si="1"/>
        <v>10742.693191873219</v>
      </c>
      <c r="L3" s="244">
        <f t="shared" si="1"/>
        <v>10823.451206066924</v>
      </c>
      <c r="M3" s="244">
        <f t="shared" ref="M3:M10" si="2">SUM(B3:L3)</f>
        <v>64157.909436958245</v>
      </c>
    </row>
    <row r="4" spans="1:13" x14ac:dyDescent="0.2">
      <c r="A4" s="242" t="s">
        <v>310</v>
      </c>
      <c r="B4" s="244">
        <f t="shared" ref="B4:L4" si="3">B152</f>
        <v>0</v>
      </c>
      <c r="C4" s="244">
        <f t="shared" si="3"/>
        <v>136.47580071620868</v>
      </c>
      <c r="D4" s="244">
        <f t="shared" si="3"/>
        <v>336.43819693095827</v>
      </c>
      <c r="E4" s="244">
        <f t="shared" si="3"/>
        <v>470.08303800474346</v>
      </c>
      <c r="F4" s="244">
        <f t="shared" si="3"/>
        <v>867.51994761299215</v>
      </c>
      <c r="G4" s="244">
        <f t="shared" si="3"/>
        <v>1305.5909301496899</v>
      </c>
      <c r="H4" s="244">
        <f t="shared" si="3"/>
        <v>2122.9369433212537</v>
      </c>
      <c r="I4" s="244">
        <f t="shared" si="3"/>
        <v>2868.4073719016224</v>
      </c>
      <c r="J4" s="244">
        <f t="shared" si="3"/>
        <v>3935.7480312268572</v>
      </c>
      <c r="K4" s="244">
        <f t="shared" si="3"/>
        <v>4979.9234204409677</v>
      </c>
      <c r="L4" s="244">
        <f t="shared" si="3"/>
        <v>5666.3029887103748</v>
      </c>
      <c r="M4" s="244">
        <f t="shared" si="2"/>
        <v>22689.426669015673</v>
      </c>
    </row>
    <row r="5" spans="1:13" x14ac:dyDescent="0.2">
      <c r="A5" s="243" t="s">
        <v>311</v>
      </c>
      <c r="B5" s="244">
        <f t="shared" ref="B5:L5" si="4">B171</f>
        <v>0</v>
      </c>
      <c r="C5" s="244">
        <f t="shared" si="4"/>
        <v>112.5</v>
      </c>
      <c r="D5" s="244">
        <f t="shared" si="4"/>
        <v>202.5</v>
      </c>
      <c r="E5" s="244">
        <f t="shared" si="4"/>
        <v>455.625</v>
      </c>
      <c r="F5" s="244">
        <f t="shared" si="4"/>
        <v>820.125</v>
      </c>
      <c r="G5" s="244">
        <f t="shared" si="4"/>
        <v>885.73500000000001</v>
      </c>
      <c r="H5" s="244">
        <f t="shared" si="4"/>
        <v>930.02175000000011</v>
      </c>
      <c r="I5" s="244">
        <f t="shared" si="4"/>
        <v>837.01957500000015</v>
      </c>
      <c r="J5" s="244">
        <f t="shared" si="4"/>
        <v>753.3176175000001</v>
      </c>
      <c r="K5" s="244">
        <f t="shared" si="4"/>
        <v>677.98585575000016</v>
      </c>
      <c r="L5" s="244">
        <f t="shared" si="4"/>
        <v>610.18727017500009</v>
      </c>
      <c r="M5" s="244">
        <f t="shared" si="2"/>
        <v>6285.0170684250006</v>
      </c>
    </row>
    <row r="6" spans="1:13" x14ac:dyDescent="0.2">
      <c r="A6" s="243" t="s">
        <v>434</v>
      </c>
      <c r="B6" s="244">
        <f t="shared" ref="B6:L6" si="5">B183</f>
        <v>0</v>
      </c>
      <c r="C6" s="244">
        <f t="shared" si="5"/>
        <v>33.75</v>
      </c>
      <c r="D6" s="244">
        <f t="shared" si="5"/>
        <v>60.75</v>
      </c>
      <c r="E6" s="244">
        <f t="shared" si="5"/>
        <v>136.6875</v>
      </c>
      <c r="F6" s="244">
        <f t="shared" si="5"/>
        <v>246.03749999999999</v>
      </c>
      <c r="G6" s="244">
        <f t="shared" si="5"/>
        <v>265.72050000000002</v>
      </c>
      <c r="H6" s="244">
        <f t="shared" si="5"/>
        <v>279.00652500000007</v>
      </c>
      <c r="I6" s="244">
        <f t="shared" si="5"/>
        <v>251.10587250000006</v>
      </c>
      <c r="J6" s="244">
        <f t="shared" si="5"/>
        <v>225.99528525000005</v>
      </c>
      <c r="K6" s="244">
        <f t="shared" si="5"/>
        <v>203.39575672500004</v>
      </c>
      <c r="L6" s="244">
        <f t="shared" si="5"/>
        <v>183.05618105250005</v>
      </c>
      <c r="M6" s="244">
        <f t="shared" si="2"/>
        <v>1885.5051205275001</v>
      </c>
    </row>
    <row r="7" spans="1:13" x14ac:dyDescent="0.2">
      <c r="A7" s="242" t="s">
        <v>330</v>
      </c>
      <c r="B7" s="244">
        <f t="shared" ref="B7:L7" si="6">B186</f>
        <v>0</v>
      </c>
      <c r="C7" s="244">
        <f t="shared" si="6"/>
        <v>1000</v>
      </c>
      <c r="D7" s="244">
        <f t="shared" si="6"/>
        <v>0</v>
      </c>
      <c r="E7" s="244">
        <f t="shared" si="6"/>
        <v>0</v>
      </c>
      <c r="F7" s="244">
        <f t="shared" si="6"/>
        <v>0</v>
      </c>
      <c r="G7" s="244">
        <f t="shared" si="6"/>
        <v>0</v>
      </c>
      <c r="H7" s="244">
        <f t="shared" si="6"/>
        <v>0</v>
      </c>
      <c r="I7" s="244">
        <f t="shared" si="6"/>
        <v>0</v>
      </c>
      <c r="J7" s="244">
        <f t="shared" si="6"/>
        <v>0</v>
      </c>
      <c r="K7" s="244">
        <f t="shared" si="6"/>
        <v>0</v>
      </c>
      <c r="L7" s="244">
        <f t="shared" si="6"/>
        <v>0</v>
      </c>
      <c r="M7" s="244">
        <f t="shared" si="2"/>
        <v>1000</v>
      </c>
    </row>
    <row r="8" spans="1:13" x14ac:dyDescent="0.2">
      <c r="A8" s="242" t="s">
        <v>349</v>
      </c>
      <c r="B8" s="244">
        <f t="shared" ref="B8:L8" si="7">B188</f>
        <v>0</v>
      </c>
      <c r="C8" s="244">
        <f t="shared" si="7"/>
        <v>734.642784260349</v>
      </c>
      <c r="D8" s="244">
        <f t="shared" si="7"/>
        <v>1469.285568520698</v>
      </c>
      <c r="E8" s="244">
        <f t="shared" si="7"/>
        <v>1469.285568520698</v>
      </c>
      <c r="F8" s="244">
        <f t="shared" si="7"/>
        <v>1469.285568520698</v>
      </c>
      <c r="G8" s="244">
        <f t="shared" si="7"/>
        <v>2203.9283527810467</v>
      </c>
      <c r="H8" s="244">
        <f t="shared" si="7"/>
        <v>2938.571137041396</v>
      </c>
      <c r="I8" s="244">
        <f t="shared" si="7"/>
        <v>2938.571137041396</v>
      </c>
      <c r="J8" s="244">
        <f t="shared" si="7"/>
        <v>1469.285568520698</v>
      </c>
      <c r="K8" s="244">
        <f t="shared" si="7"/>
        <v>0</v>
      </c>
      <c r="L8" s="244">
        <f t="shared" si="7"/>
        <v>0</v>
      </c>
      <c r="M8" s="244">
        <f t="shared" si="2"/>
        <v>14692.85568520698</v>
      </c>
    </row>
    <row r="9" spans="1:13" x14ac:dyDescent="0.2">
      <c r="A9" s="242" t="s">
        <v>362</v>
      </c>
      <c r="B9" s="244">
        <f t="shared" ref="B9:L9" si="8">B190</f>
        <v>0</v>
      </c>
      <c r="C9" s="244">
        <f t="shared" si="8"/>
        <v>1000</v>
      </c>
      <c r="D9" s="244">
        <f t="shared" si="8"/>
        <v>1000</v>
      </c>
      <c r="E9" s="244">
        <f t="shared" si="8"/>
        <v>0</v>
      </c>
      <c r="F9" s="244">
        <f t="shared" si="8"/>
        <v>0</v>
      </c>
      <c r="G9" s="244">
        <f t="shared" si="8"/>
        <v>0</v>
      </c>
      <c r="H9" s="244">
        <f t="shared" si="8"/>
        <v>0</v>
      </c>
      <c r="I9" s="244">
        <f t="shared" si="8"/>
        <v>0</v>
      </c>
      <c r="J9" s="244">
        <f t="shared" si="8"/>
        <v>0</v>
      </c>
      <c r="K9" s="244">
        <f t="shared" si="8"/>
        <v>0</v>
      </c>
      <c r="L9" s="244">
        <f t="shared" si="8"/>
        <v>0</v>
      </c>
      <c r="M9" s="244">
        <f t="shared" si="2"/>
        <v>2000</v>
      </c>
    </row>
    <row r="10" spans="1:13" x14ac:dyDescent="0.2">
      <c r="A10" s="241" t="s">
        <v>55</v>
      </c>
      <c r="B10" s="369">
        <f>SUM(B3:B9)</f>
        <v>81.771187039179551</v>
      </c>
      <c r="C10" s="369">
        <f t="shared" ref="C10:L10" si="9">SUM(C3:C9)</f>
        <v>4129.6264360498899</v>
      </c>
      <c r="D10" s="369">
        <f t="shared" si="9"/>
        <v>5404.9023746479606</v>
      </c>
      <c r="E10" s="369">
        <f t="shared" si="9"/>
        <v>6112.3051839480886</v>
      </c>
      <c r="F10" s="369">
        <f t="shared" si="9"/>
        <v>7946.4120208991517</v>
      </c>
      <c r="G10" s="369">
        <f t="shared" si="9"/>
        <v>10512.920937383391</v>
      </c>
      <c r="H10" s="369">
        <f t="shared" si="9"/>
        <v>13574.749369442241</v>
      </c>
      <c r="I10" s="369">
        <f t="shared" si="9"/>
        <v>15422.469018727455</v>
      </c>
      <c r="J10" s="369">
        <f t="shared" si="9"/>
        <v>15638.561581202053</v>
      </c>
      <c r="K10" s="369">
        <f t="shared" si="9"/>
        <v>16603.998224789186</v>
      </c>
      <c r="L10" s="369">
        <f t="shared" si="9"/>
        <v>17282.997646004798</v>
      </c>
      <c r="M10" s="369">
        <f t="shared" si="2"/>
        <v>112710.71398013341</v>
      </c>
    </row>
    <row r="12" spans="1:13" ht="15.75" x14ac:dyDescent="0.25">
      <c r="A12" s="430" t="s">
        <v>436</v>
      </c>
      <c r="B12" s="431">
        <f>B1</f>
        <v>2020</v>
      </c>
      <c r="C12" s="431">
        <f t="shared" ref="C12:M12" si="10">C1</f>
        <v>2021</v>
      </c>
      <c r="D12" s="431">
        <f t="shared" si="10"/>
        <v>2022</v>
      </c>
      <c r="E12" s="431">
        <f t="shared" si="10"/>
        <v>2023</v>
      </c>
      <c r="F12" s="431">
        <f t="shared" si="10"/>
        <v>2024</v>
      </c>
      <c r="G12" s="431">
        <f t="shared" si="10"/>
        <v>2025</v>
      </c>
      <c r="H12" s="431">
        <f t="shared" si="10"/>
        <v>2026</v>
      </c>
      <c r="I12" s="431">
        <f t="shared" si="10"/>
        <v>2027</v>
      </c>
      <c r="J12" s="431">
        <f t="shared" si="10"/>
        <v>2028</v>
      </c>
      <c r="K12" s="431">
        <f t="shared" si="10"/>
        <v>2029</v>
      </c>
      <c r="L12" s="431">
        <f t="shared" si="10"/>
        <v>2030</v>
      </c>
      <c r="M12" s="431" t="str">
        <f t="shared" si="10"/>
        <v>Cumulative</v>
      </c>
    </row>
    <row r="13" spans="1:13" x14ac:dyDescent="0.2">
      <c r="A13" s="422" t="s">
        <v>356</v>
      </c>
      <c r="B13" s="423">
        <f t="shared" ref="B13:L13" si="11">-B109</f>
        <v>0</v>
      </c>
      <c r="C13" s="423">
        <f t="shared" si="11"/>
        <v>0.49910205389818429</v>
      </c>
      <c r="D13" s="423">
        <f t="shared" si="11"/>
        <v>1.5430116102053404</v>
      </c>
      <c r="E13" s="423">
        <f t="shared" si="11"/>
        <v>3.1322941988422315</v>
      </c>
      <c r="F13" s="423">
        <f t="shared" si="11"/>
        <v>5.2344657961115786</v>
      </c>
      <c r="G13" s="423">
        <f t="shared" si="11"/>
        <v>8.1191258638134656</v>
      </c>
      <c r="H13" s="423">
        <f t="shared" si="11"/>
        <v>11.875252888608173</v>
      </c>
      <c r="I13" s="423">
        <f t="shared" si="11"/>
        <v>16.351530166252772</v>
      </c>
      <c r="J13" s="423">
        <f t="shared" si="11"/>
        <v>21.268262552422243</v>
      </c>
      <c r="K13" s="423">
        <f t="shared" si="11"/>
        <v>27.226120893456141</v>
      </c>
      <c r="L13" s="423">
        <f t="shared" si="11"/>
        <v>33.108616570957651</v>
      </c>
      <c r="M13" s="424">
        <f t="shared" ref="M13" si="12">SUM(B13:L13)</f>
        <v>128.35778259456777</v>
      </c>
    </row>
    <row r="14" spans="1:13" x14ac:dyDescent="0.2">
      <c r="A14" s="422" t="s">
        <v>310</v>
      </c>
      <c r="B14" s="423">
        <f t="shared" ref="B14:L14" si="13">B151</f>
        <v>0</v>
      </c>
      <c r="C14" s="423">
        <f t="shared" si="13"/>
        <v>0.15710922368828051</v>
      </c>
      <c r="D14" s="423">
        <f t="shared" si="13"/>
        <v>0.54195582819022547</v>
      </c>
      <c r="E14" s="423">
        <f t="shared" si="13"/>
        <v>1.0599151833147005</v>
      </c>
      <c r="F14" s="423">
        <f t="shared" si="13"/>
        <v>2.018026064045884</v>
      </c>
      <c r="G14" s="423">
        <f t="shared" si="13"/>
        <v>3.5724635790956967</v>
      </c>
      <c r="H14" s="423">
        <f t="shared" si="13"/>
        <v>6.2201245911597596</v>
      </c>
      <c r="I14" s="423">
        <f t="shared" si="13"/>
        <v>9.9049723670710108</v>
      </c>
      <c r="J14" s="423">
        <f t="shared" si="13"/>
        <v>15.039056081779407</v>
      </c>
      <c r="K14" s="423">
        <f t="shared" si="13"/>
        <v>21.720611568880443</v>
      </c>
      <c r="L14" s="423">
        <f t="shared" si="13"/>
        <v>29.693779484567898</v>
      </c>
      <c r="M14" s="424">
        <f t="shared" ref="M14:M19" si="14">SUM(B14:L14)</f>
        <v>89.928013971793305</v>
      </c>
    </row>
    <row r="15" spans="1:13" x14ac:dyDescent="0.2">
      <c r="A15" s="425" t="s">
        <v>311</v>
      </c>
      <c r="B15" s="423">
        <f t="shared" ref="B15:L15" si="15">B169</f>
        <v>0</v>
      </c>
      <c r="C15" s="423">
        <f t="shared" si="15"/>
        <v>2.3636785143610232E-2</v>
      </c>
      <c r="D15" s="423">
        <f t="shared" si="15"/>
        <v>7.0910353433576059E-2</v>
      </c>
      <c r="E15" s="423">
        <f t="shared" si="15"/>
        <v>0.18909427049643124</v>
      </c>
      <c r="F15" s="423">
        <f t="shared" si="15"/>
        <v>0.42546209663152562</v>
      </c>
      <c r="G15" s="423">
        <f t="shared" si="15"/>
        <v>0.70910347440853783</v>
      </c>
      <c r="H15" s="423">
        <f t="shared" si="15"/>
        <v>1.0400183998300825</v>
      </c>
      <c r="I15" s="423">
        <f t="shared" si="15"/>
        <v>1.3709333066015312</v>
      </c>
      <c r="J15" s="423">
        <f t="shared" si="15"/>
        <v>1.7018481947206472</v>
      </c>
      <c r="K15" s="423">
        <f t="shared" si="15"/>
        <v>2.0327630641851928</v>
      </c>
      <c r="L15" s="423">
        <f t="shared" si="15"/>
        <v>2.3636779149929303</v>
      </c>
      <c r="M15" s="424">
        <f t="shared" si="14"/>
        <v>9.9274478604440652</v>
      </c>
    </row>
    <row r="16" spans="1:13" x14ac:dyDescent="0.2">
      <c r="A16" s="425" t="s">
        <v>434</v>
      </c>
      <c r="B16" s="423">
        <f t="shared" ref="B16:L16" si="16">B181</f>
        <v>0</v>
      </c>
      <c r="C16" s="423">
        <f t="shared" si="16"/>
        <v>5.6163875863994728E-3</v>
      </c>
      <c r="D16" s="423">
        <f t="shared" si="16"/>
        <v>1.6849162303615731E-2</v>
      </c>
      <c r="E16" s="423">
        <f t="shared" si="16"/>
        <v>4.4931098261324277E-2</v>
      </c>
      <c r="F16" s="423">
        <f t="shared" si="16"/>
        <v>0.10109496835404627</v>
      </c>
      <c r="G16" s="423">
        <f t="shared" si="16"/>
        <v>0.16849160936649052</v>
      </c>
      <c r="H16" s="423">
        <f t="shared" si="16"/>
        <v>0.2471210203868355</v>
      </c>
      <c r="I16" s="423">
        <f t="shared" si="16"/>
        <v>0.32575042715301056</v>
      </c>
      <c r="J16" s="423">
        <f t="shared" si="16"/>
        <v>0.4043798296645052</v>
      </c>
      <c r="K16" s="423">
        <f t="shared" si="16"/>
        <v>0.48300922792080914</v>
      </c>
      <c r="L16" s="423">
        <f t="shared" si="16"/>
        <v>0.56163862192141212</v>
      </c>
      <c r="M16" s="424">
        <f t="shared" si="14"/>
        <v>2.3588823529184486</v>
      </c>
    </row>
    <row r="17" spans="1:13" x14ac:dyDescent="0.2">
      <c r="A17" s="422" t="s">
        <v>330</v>
      </c>
      <c r="B17" s="423"/>
      <c r="C17" s="423"/>
      <c r="D17" s="423"/>
      <c r="E17" s="423"/>
      <c r="F17" s="423"/>
      <c r="G17" s="423"/>
      <c r="H17" s="423"/>
      <c r="I17" s="423"/>
      <c r="J17" s="423"/>
      <c r="K17" s="423"/>
      <c r="L17" s="423"/>
      <c r="M17" s="424">
        <f t="shared" si="14"/>
        <v>0</v>
      </c>
    </row>
    <row r="18" spans="1:13" x14ac:dyDescent="0.2">
      <c r="A18" s="422" t="s">
        <v>349</v>
      </c>
      <c r="B18" s="423"/>
      <c r="C18" s="423"/>
      <c r="D18" s="423"/>
      <c r="E18" s="423"/>
      <c r="F18" s="423"/>
      <c r="G18" s="423"/>
      <c r="H18" s="423"/>
      <c r="I18" s="423"/>
      <c r="J18" s="423"/>
      <c r="K18" s="423"/>
      <c r="L18" s="423"/>
      <c r="M18" s="424">
        <f t="shared" si="14"/>
        <v>0</v>
      </c>
    </row>
    <row r="19" spans="1:13" x14ac:dyDescent="0.2">
      <c r="A19" s="425" t="s">
        <v>362</v>
      </c>
      <c r="B19" s="423"/>
      <c r="C19" s="423">
        <v>0</v>
      </c>
      <c r="D19" s="423">
        <v>0</v>
      </c>
      <c r="E19" s="423">
        <v>0</v>
      </c>
      <c r="F19" s="423">
        <v>0</v>
      </c>
      <c r="G19" s="423">
        <v>0</v>
      </c>
      <c r="H19" s="423">
        <v>0</v>
      </c>
      <c r="I19" s="423">
        <v>0</v>
      </c>
      <c r="J19" s="423">
        <v>0</v>
      </c>
      <c r="K19" s="423">
        <v>0</v>
      </c>
      <c r="L19" s="423">
        <v>0</v>
      </c>
      <c r="M19" s="424">
        <f t="shared" si="14"/>
        <v>0</v>
      </c>
    </row>
    <row r="20" spans="1:13" x14ac:dyDescent="0.2">
      <c r="A20" s="431" t="s">
        <v>55</v>
      </c>
      <c r="B20" s="435">
        <f>SUM(B13:B19)</f>
        <v>0</v>
      </c>
      <c r="C20" s="435">
        <f t="shared" ref="C20" si="17">SUM(C13:C19)</f>
        <v>0.68546445031647452</v>
      </c>
      <c r="D20" s="435">
        <f t="shared" ref="D20" si="18">SUM(D13:D19)</f>
        <v>2.1727269541327576</v>
      </c>
      <c r="E20" s="435">
        <f t="shared" ref="E20" si="19">SUM(E13:E19)</f>
        <v>4.4262347509146878</v>
      </c>
      <c r="F20" s="435">
        <f t="shared" ref="F20" si="20">SUM(F13:F19)</f>
        <v>7.7790489251430346</v>
      </c>
      <c r="G20" s="435">
        <f t="shared" ref="G20" si="21">SUM(G13:G19)</f>
        <v>12.569184526684191</v>
      </c>
      <c r="H20" s="435">
        <f t="shared" ref="H20" si="22">SUM(H13:H19)</f>
        <v>19.38251689998485</v>
      </c>
      <c r="I20" s="435">
        <f t="shared" ref="I20" si="23">SUM(I13:I19)</f>
        <v>27.953186267078326</v>
      </c>
      <c r="J20" s="435">
        <f t="shared" ref="J20" si="24">SUM(J13:J19)</f>
        <v>38.413546658586803</v>
      </c>
      <c r="K20" s="435">
        <f t="shared" ref="K20" si="25">SUM(K13:K19)</f>
        <v>51.462504754442584</v>
      </c>
      <c r="L20" s="435">
        <f t="shared" ref="L20" si="26">SUM(L13:L19)</f>
        <v>65.7277125924399</v>
      </c>
      <c r="M20" s="435">
        <f t="shared" ref="M20" si="27">SUM(B20:L20)</f>
        <v>230.57212677972362</v>
      </c>
    </row>
    <row r="22" spans="1:13" ht="15.75" x14ac:dyDescent="0.25">
      <c r="A22" s="326" t="s">
        <v>437</v>
      </c>
      <c r="B22" s="222">
        <v>2020</v>
      </c>
      <c r="C22" s="222">
        <v>2021</v>
      </c>
      <c r="D22" s="222">
        <v>2022</v>
      </c>
      <c r="E22" s="222">
        <v>2023</v>
      </c>
      <c r="F22" s="222">
        <v>2024</v>
      </c>
      <c r="G22" s="222">
        <v>2025</v>
      </c>
      <c r="H22" s="222">
        <v>2026</v>
      </c>
      <c r="I22" s="222">
        <v>2027</v>
      </c>
      <c r="J22" s="222">
        <v>2028</v>
      </c>
      <c r="K22" s="222">
        <v>2029</v>
      </c>
      <c r="L22" s="222">
        <v>2030</v>
      </c>
      <c r="M22" s="222" t="s">
        <v>435</v>
      </c>
    </row>
    <row r="23" spans="1:13" x14ac:dyDescent="0.2">
      <c r="A23" s="222" t="s">
        <v>356</v>
      </c>
      <c r="B23" s="216">
        <f t="shared" ref="B23:L23" si="28">B108</f>
        <v>0</v>
      </c>
      <c r="C23" s="216">
        <f t="shared" si="28"/>
        <v>177.6277857601599</v>
      </c>
      <c r="D23" s="216">
        <f t="shared" si="28"/>
        <v>548.81862565669144</v>
      </c>
      <c r="E23" s="216">
        <f t="shared" si="28"/>
        <v>1114.1264513806891</v>
      </c>
      <c r="F23" s="216">
        <f t="shared" si="28"/>
        <v>1861.9373807921511</v>
      </c>
      <c r="G23" s="216">
        <f t="shared" si="28"/>
        <v>2886.1635609755613</v>
      </c>
      <c r="H23" s="216">
        <f t="shared" si="28"/>
        <v>4217.7661783599833</v>
      </c>
      <c r="I23" s="216">
        <f t="shared" si="28"/>
        <v>5801.356326140547</v>
      </c>
      <c r="J23" s="216">
        <f t="shared" si="28"/>
        <v>7538.0584636580461</v>
      </c>
      <c r="K23" s="216">
        <f t="shared" si="28"/>
        <v>9639.0614024871211</v>
      </c>
      <c r="L23" s="216">
        <f t="shared" si="28"/>
        <v>11709.522053339631</v>
      </c>
      <c r="M23" s="216">
        <f t="shared" ref="M23:M29" si="29">SUM(B23:L23)</f>
        <v>45494.438228550585</v>
      </c>
    </row>
    <row r="24" spans="1:13" x14ac:dyDescent="0.2">
      <c r="A24" s="222" t="s">
        <v>310</v>
      </c>
      <c r="B24" s="216">
        <f t="shared" ref="B24:L24" si="30">B150</f>
        <v>0</v>
      </c>
      <c r="C24" s="216">
        <f t="shared" si="30"/>
        <v>53.729016701152432</v>
      </c>
      <c r="D24" s="216">
        <f t="shared" si="30"/>
        <v>189.00137896122033</v>
      </c>
      <c r="E24" s="216">
        <f t="shared" si="30"/>
        <v>377.62339138896641</v>
      </c>
      <c r="F24" s="216">
        <f t="shared" si="30"/>
        <v>733.00558600010845</v>
      </c>
      <c r="G24" s="216">
        <f t="shared" si="30"/>
        <v>1304.987921918495</v>
      </c>
      <c r="H24" s="216">
        <f t="shared" si="30"/>
        <v>2280.935146668744</v>
      </c>
      <c r="I24" s="216">
        <f t="shared" si="30"/>
        <v>3648.1452754761194</v>
      </c>
      <c r="J24" s="216">
        <f t="shared" si="30"/>
        <v>5572.7400417273457</v>
      </c>
      <c r="K24" s="216">
        <f t="shared" si="30"/>
        <v>8092.0380492059558</v>
      </c>
      <c r="L24" s="216">
        <f t="shared" si="30"/>
        <v>11097.682863799648</v>
      </c>
      <c r="M24" s="216">
        <f>-M150</f>
        <v>0</v>
      </c>
    </row>
    <row r="25" spans="1:13" x14ac:dyDescent="0.2">
      <c r="A25" s="314" t="s">
        <v>311</v>
      </c>
      <c r="B25" s="216">
        <f t="shared" ref="B25:L25" si="31">B168</f>
        <v>0</v>
      </c>
      <c r="C25" s="216">
        <f t="shared" si="31"/>
        <v>8.8148680765636254</v>
      </c>
      <c r="D25" s="216">
        <f t="shared" si="31"/>
        <v>26.444604229690874</v>
      </c>
      <c r="E25" s="216">
        <f t="shared" si="31"/>
        <v>70.518944612509003</v>
      </c>
      <c r="F25" s="216">
        <f t="shared" si="31"/>
        <v>158.66762537814526</v>
      </c>
      <c r="G25" s="216">
        <f t="shared" si="31"/>
        <v>264.44604229690879</v>
      </c>
      <c r="H25" s="216">
        <f t="shared" si="31"/>
        <v>387.85419536879954</v>
      </c>
      <c r="I25" s="216">
        <f t="shared" si="31"/>
        <v>511.26234844069029</v>
      </c>
      <c r="J25" s="216">
        <f t="shared" si="31"/>
        <v>634.67050151258104</v>
      </c>
      <c r="K25" s="216">
        <f t="shared" si="31"/>
        <v>758.07865458447179</v>
      </c>
      <c r="L25" s="216">
        <f t="shared" si="31"/>
        <v>881.48680765636243</v>
      </c>
      <c r="M25" s="216">
        <f t="shared" si="29"/>
        <v>3702.2445921567228</v>
      </c>
    </row>
    <row r="26" spans="1:13" x14ac:dyDescent="0.2">
      <c r="A26" s="314" t="s">
        <v>434</v>
      </c>
      <c r="B26" s="216">
        <f t="shared" ref="B26:L26" si="32">B180</f>
        <v>0</v>
      </c>
      <c r="C26" s="216">
        <f t="shared" si="32"/>
        <v>2.0945657505879711</v>
      </c>
      <c r="D26" s="216">
        <f t="shared" si="32"/>
        <v>6.2836972517639147</v>
      </c>
      <c r="E26" s="216">
        <f t="shared" si="32"/>
        <v>16.756526004703769</v>
      </c>
      <c r="F26" s="216">
        <f t="shared" si="32"/>
        <v>37.702183510583481</v>
      </c>
      <c r="G26" s="216">
        <f t="shared" si="32"/>
        <v>62.836972517639154</v>
      </c>
      <c r="H26" s="216">
        <f t="shared" si="32"/>
        <v>92.16089302587072</v>
      </c>
      <c r="I26" s="216">
        <f t="shared" si="32"/>
        <v>121.48481353410234</v>
      </c>
      <c r="J26" s="216">
        <f t="shared" si="32"/>
        <v>150.80873404233392</v>
      </c>
      <c r="K26" s="216">
        <f t="shared" si="32"/>
        <v>180.13265455056555</v>
      </c>
      <c r="L26" s="216">
        <f t="shared" si="32"/>
        <v>209.4565750587972</v>
      </c>
      <c r="M26" s="216">
        <f t="shared" si="29"/>
        <v>879.71761524694796</v>
      </c>
    </row>
    <row r="27" spans="1:13" x14ac:dyDescent="0.2">
      <c r="A27" s="222" t="s">
        <v>330</v>
      </c>
      <c r="B27" s="216"/>
      <c r="C27" s="216"/>
      <c r="D27" s="216"/>
      <c r="E27" s="216"/>
      <c r="F27" s="216"/>
      <c r="G27" s="216"/>
      <c r="H27" s="216"/>
      <c r="I27" s="216"/>
      <c r="J27" s="216"/>
      <c r="K27" s="216"/>
      <c r="L27" s="216"/>
      <c r="M27" s="216">
        <f t="shared" si="29"/>
        <v>0</v>
      </c>
    </row>
    <row r="28" spans="1:13" x14ac:dyDescent="0.2">
      <c r="A28" s="222" t="s">
        <v>349</v>
      </c>
      <c r="B28" s="216"/>
      <c r="C28" s="216"/>
      <c r="D28" s="216"/>
      <c r="E28" s="216"/>
      <c r="F28" s="216"/>
      <c r="G28" s="216"/>
      <c r="H28" s="216"/>
      <c r="I28" s="216"/>
      <c r="J28" s="216"/>
      <c r="K28" s="216"/>
      <c r="L28" s="216"/>
      <c r="M28" s="216">
        <f t="shared" si="29"/>
        <v>0</v>
      </c>
    </row>
    <row r="29" spans="1:13" x14ac:dyDescent="0.2">
      <c r="A29" s="222" t="s">
        <v>362</v>
      </c>
      <c r="B29" s="216"/>
      <c r="C29" s="216"/>
      <c r="D29" s="216"/>
      <c r="E29" s="216"/>
      <c r="F29" s="216"/>
      <c r="G29" s="216"/>
      <c r="H29" s="216"/>
      <c r="I29" s="216"/>
      <c r="J29" s="216"/>
      <c r="K29" s="216"/>
      <c r="L29" s="216"/>
      <c r="M29" s="216">
        <f t="shared" si="29"/>
        <v>0</v>
      </c>
    </row>
    <row r="30" spans="1:13" x14ac:dyDescent="0.2">
      <c r="A30" s="221" t="s">
        <v>55</v>
      </c>
      <c r="B30" s="345">
        <f>SUM(B23:B29)</f>
        <v>0</v>
      </c>
      <c r="C30" s="345">
        <f t="shared" ref="C30" si="33">SUM(C23:C29)</f>
        <v>242.26623628846392</v>
      </c>
      <c r="D30" s="345">
        <f t="shared" ref="D30" si="34">SUM(D23:D29)</f>
        <v>770.54830609936653</v>
      </c>
      <c r="E30" s="345">
        <f t="shared" ref="E30" si="35">SUM(E23:E29)</f>
        <v>1579.0253133868682</v>
      </c>
      <c r="F30" s="345">
        <f t="shared" ref="F30" si="36">SUM(F23:F29)</f>
        <v>2791.3127756809881</v>
      </c>
      <c r="G30" s="345">
        <f t="shared" ref="G30" si="37">SUM(G23:G29)</f>
        <v>4518.4344977086039</v>
      </c>
      <c r="H30" s="345">
        <f t="shared" ref="H30" si="38">SUM(H23:H29)</f>
        <v>6978.7164134233981</v>
      </c>
      <c r="I30" s="345">
        <f t="shared" ref="I30" si="39">SUM(I23:I29)</f>
        <v>10082.248763591459</v>
      </c>
      <c r="J30" s="345">
        <f t="shared" ref="J30" si="40">SUM(J23:J29)</f>
        <v>13896.277740940306</v>
      </c>
      <c r="K30" s="345">
        <f t="shared" ref="K30" si="41">SUM(K23:K29)</f>
        <v>18669.310760828113</v>
      </c>
      <c r="L30" s="345">
        <f t="shared" ref="L30" si="42">SUM(L23:L29)</f>
        <v>23898.148299854438</v>
      </c>
      <c r="M30" s="345">
        <f t="shared" ref="M30" si="43">SUM(B30:L30)</f>
        <v>83426.289107802004</v>
      </c>
    </row>
    <row r="32" spans="1:13" ht="15.75" x14ac:dyDescent="0.25">
      <c r="A32" s="432" t="s">
        <v>300</v>
      </c>
      <c r="B32" s="426">
        <v>2020</v>
      </c>
      <c r="C32" s="426">
        <v>2021</v>
      </c>
      <c r="D32" s="426">
        <v>2022</v>
      </c>
      <c r="E32" s="426">
        <v>2023</v>
      </c>
      <c r="F32" s="426">
        <v>2024</v>
      </c>
      <c r="G32" s="426">
        <v>2025</v>
      </c>
      <c r="H32" s="426">
        <v>2026</v>
      </c>
      <c r="I32" s="426">
        <v>2027</v>
      </c>
      <c r="J32" s="426">
        <v>2028</v>
      </c>
      <c r="K32" s="426">
        <v>2029</v>
      </c>
      <c r="L32" s="426">
        <v>2030</v>
      </c>
      <c r="M32" s="426" t="s">
        <v>435</v>
      </c>
    </row>
    <row r="33" spans="1:14" x14ac:dyDescent="0.2">
      <c r="A33" s="426" t="s">
        <v>356</v>
      </c>
      <c r="B33" s="288">
        <f t="shared" ref="B33:L33" si="44">B3*jobmultiplier</f>
        <v>605.10678408992874</v>
      </c>
      <c r="C33" s="288">
        <f t="shared" si="44"/>
        <v>8230.7080979426592</v>
      </c>
      <c r="D33" s="288">
        <f t="shared" si="44"/>
        <v>17285.871708052651</v>
      </c>
      <c r="E33" s="288">
        <f t="shared" si="44"/>
        <v>26496.618172927589</v>
      </c>
      <c r="F33" s="288">
        <f t="shared" si="44"/>
        <v>33621.48563526442</v>
      </c>
      <c r="G33" s="288">
        <f t="shared" si="44"/>
        <v>43304.401542949643</v>
      </c>
      <c r="H33" s="288">
        <f t="shared" si="44"/>
        <v>54051.176304188972</v>
      </c>
      <c r="I33" s="288">
        <f t="shared" si="44"/>
        <v>63102.501460904845</v>
      </c>
      <c r="J33" s="288">
        <f t="shared" si="44"/>
        <v>68481.191582413288</v>
      </c>
      <c r="K33" s="288">
        <f t="shared" si="44"/>
        <v>79495.929619861825</v>
      </c>
      <c r="L33" s="288">
        <f t="shared" si="44"/>
        <v>80093.538924895242</v>
      </c>
      <c r="M33" s="288">
        <f t="shared" ref="M33:M40" si="45">SUM(B33:L33)</f>
        <v>474768.52983349102</v>
      </c>
    </row>
    <row r="34" spans="1:14" x14ac:dyDescent="0.2">
      <c r="A34" s="426" t="s">
        <v>310</v>
      </c>
      <c r="B34" s="288">
        <f t="shared" ref="B34:L34" si="46">B4*jobmultiplier</f>
        <v>0</v>
      </c>
      <c r="C34" s="288">
        <f t="shared" si="46"/>
        <v>1009.9209252999443</v>
      </c>
      <c r="D34" s="288">
        <f t="shared" si="46"/>
        <v>2489.6426572890914</v>
      </c>
      <c r="E34" s="288">
        <f t="shared" si="46"/>
        <v>3478.6144812351017</v>
      </c>
      <c r="F34" s="288">
        <f t="shared" si="46"/>
        <v>6419.6476123361426</v>
      </c>
      <c r="G34" s="288">
        <f t="shared" si="46"/>
        <v>9661.372883107706</v>
      </c>
      <c r="H34" s="288">
        <f t="shared" si="46"/>
        <v>15709.733380577278</v>
      </c>
      <c r="I34" s="288">
        <f t="shared" si="46"/>
        <v>21226.214552072008</v>
      </c>
      <c r="J34" s="288">
        <f t="shared" si="46"/>
        <v>29124.535431078744</v>
      </c>
      <c r="K34" s="288">
        <f t="shared" si="46"/>
        <v>36851.433311263165</v>
      </c>
      <c r="L34" s="288">
        <f t="shared" si="46"/>
        <v>41930.642116456773</v>
      </c>
      <c r="M34" s="288">
        <f t="shared" si="45"/>
        <v>167901.75735071592</v>
      </c>
    </row>
    <row r="35" spans="1:14" x14ac:dyDescent="0.2">
      <c r="A35" s="347" t="s">
        <v>311</v>
      </c>
      <c r="B35" s="288">
        <f t="shared" ref="B35:L35" si="47">B5*jobmultiplier</f>
        <v>0</v>
      </c>
      <c r="C35" s="288">
        <f t="shared" si="47"/>
        <v>832.5</v>
      </c>
      <c r="D35" s="288">
        <f t="shared" si="47"/>
        <v>1498.5</v>
      </c>
      <c r="E35" s="288">
        <f t="shared" si="47"/>
        <v>3371.625</v>
      </c>
      <c r="F35" s="288">
        <f t="shared" si="47"/>
        <v>6068.9250000000002</v>
      </c>
      <c r="G35" s="288">
        <f t="shared" si="47"/>
        <v>6554.4390000000003</v>
      </c>
      <c r="H35" s="288">
        <f t="shared" si="47"/>
        <v>6882.1609500000013</v>
      </c>
      <c r="I35" s="288">
        <f t="shared" si="47"/>
        <v>6193.9448550000016</v>
      </c>
      <c r="J35" s="288">
        <f t="shared" si="47"/>
        <v>5574.5503695000007</v>
      </c>
      <c r="K35" s="288">
        <f t="shared" si="47"/>
        <v>5017.0953325500013</v>
      </c>
      <c r="L35" s="288">
        <f t="shared" si="47"/>
        <v>4515.3857992950007</v>
      </c>
      <c r="M35" s="288">
        <f t="shared" si="45"/>
        <v>46509.12630634501</v>
      </c>
    </row>
    <row r="36" spans="1:14" x14ac:dyDescent="0.2">
      <c r="A36" s="347" t="s">
        <v>434</v>
      </c>
      <c r="B36" s="288">
        <f t="shared" ref="B36:L36" si="48">B6*jobmultiplier</f>
        <v>0</v>
      </c>
      <c r="C36" s="288">
        <f t="shared" si="48"/>
        <v>249.75</v>
      </c>
      <c r="D36" s="288">
        <f t="shared" si="48"/>
        <v>449.55</v>
      </c>
      <c r="E36" s="288">
        <f t="shared" si="48"/>
        <v>1011.4875000000001</v>
      </c>
      <c r="F36" s="288">
        <f t="shared" si="48"/>
        <v>1820.6775</v>
      </c>
      <c r="G36" s="288">
        <f t="shared" si="48"/>
        <v>1966.3317000000002</v>
      </c>
      <c r="H36" s="288">
        <f t="shared" si="48"/>
        <v>2064.6482850000007</v>
      </c>
      <c r="I36" s="288">
        <f t="shared" si="48"/>
        <v>1858.1834565000006</v>
      </c>
      <c r="J36" s="288">
        <f t="shared" si="48"/>
        <v>1672.3651108500005</v>
      </c>
      <c r="K36" s="288">
        <f t="shared" si="48"/>
        <v>1505.1285997650004</v>
      </c>
      <c r="L36" s="288">
        <f t="shared" si="48"/>
        <v>1354.6157397885004</v>
      </c>
      <c r="M36" s="288">
        <f t="shared" si="45"/>
        <v>13952.737891903504</v>
      </c>
    </row>
    <row r="37" spans="1:14" x14ac:dyDescent="0.2">
      <c r="A37" s="426" t="s">
        <v>330</v>
      </c>
      <c r="B37" s="288">
        <f t="shared" ref="B37:L37" si="49">B7*jobmultiplier</f>
        <v>0</v>
      </c>
      <c r="C37" s="288">
        <f t="shared" si="49"/>
        <v>7400</v>
      </c>
      <c r="D37" s="288">
        <f t="shared" si="49"/>
        <v>0</v>
      </c>
      <c r="E37" s="288">
        <f t="shared" si="49"/>
        <v>0</v>
      </c>
      <c r="F37" s="288">
        <f t="shared" si="49"/>
        <v>0</v>
      </c>
      <c r="G37" s="288">
        <f t="shared" si="49"/>
        <v>0</v>
      </c>
      <c r="H37" s="288">
        <f t="shared" si="49"/>
        <v>0</v>
      </c>
      <c r="I37" s="288">
        <f t="shared" si="49"/>
        <v>0</v>
      </c>
      <c r="J37" s="288">
        <f t="shared" si="49"/>
        <v>0</v>
      </c>
      <c r="K37" s="288">
        <f t="shared" si="49"/>
        <v>0</v>
      </c>
      <c r="L37" s="288">
        <f t="shared" si="49"/>
        <v>0</v>
      </c>
      <c r="M37" s="288">
        <f t="shared" si="45"/>
        <v>7400</v>
      </c>
    </row>
    <row r="38" spans="1:14" x14ac:dyDescent="0.2">
      <c r="A38" s="426" t="s">
        <v>349</v>
      </c>
      <c r="B38" s="288">
        <f t="shared" ref="B38:L38" si="50">B8*jobmultiplier</f>
        <v>0</v>
      </c>
      <c r="C38" s="288">
        <f t="shared" si="50"/>
        <v>5436.3566035265831</v>
      </c>
      <c r="D38" s="288">
        <f t="shared" si="50"/>
        <v>10872.713207053166</v>
      </c>
      <c r="E38" s="288">
        <f t="shared" si="50"/>
        <v>10872.713207053166</v>
      </c>
      <c r="F38" s="288">
        <f t="shared" si="50"/>
        <v>10872.713207053166</v>
      </c>
      <c r="G38" s="288">
        <f t="shared" si="50"/>
        <v>16309.069810579746</v>
      </c>
      <c r="H38" s="288">
        <f t="shared" si="50"/>
        <v>21745.426414106332</v>
      </c>
      <c r="I38" s="288">
        <f t="shared" si="50"/>
        <v>21745.426414106332</v>
      </c>
      <c r="J38" s="288">
        <f t="shared" si="50"/>
        <v>10872.713207053166</v>
      </c>
      <c r="K38" s="288">
        <f t="shared" si="50"/>
        <v>0</v>
      </c>
      <c r="L38" s="288">
        <f t="shared" si="50"/>
        <v>0</v>
      </c>
      <c r="M38" s="288">
        <f t="shared" si="45"/>
        <v>108727.13207053166</v>
      </c>
    </row>
    <row r="39" spans="1:14" x14ac:dyDescent="0.2">
      <c r="A39" s="426" t="s">
        <v>362</v>
      </c>
      <c r="B39" s="288">
        <f t="shared" ref="B39:L39" si="51">B9*jobmultiplier</f>
        <v>0</v>
      </c>
      <c r="C39" s="288">
        <f t="shared" si="51"/>
        <v>7400</v>
      </c>
      <c r="D39" s="288">
        <f t="shared" si="51"/>
        <v>7400</v>
      </c>
      <c r="E39" s="288">
        <f t="shared" si="51"/>
        <v>0</v>
      </c>
      <c r="F39" s="288">
        <f t="shared" si="51"/>
        <v>0</v>
      </c>
      <c r="G39" s="288">
        <f t="shared" si="51"/>
        <v>0</v>
      </c>
      <c r="H39" s="288">
        <f t="shared" si="51"/>
        <v>0</v>
      </c>
      <c r="I39" s="288">
        <f t="shared" si="51"/>
        <v>0</v>
      </c>
      <c r="J39" s="288">
        <f t="shared" si="51"/>
        <v>0</v>
      </c>
      <c r="K39" s="288">
        <f t="shared" si="51"/>
        <v>0</v>
      </c>
      <c r="L39" s="288">
        <f t="shared" si="51"/>
        <v>0</v>
      </c>
      <c r="M39" s="288">
        <f t="shared" si="45"/>
        <v>14800</v>
      </c>
    </row>
    <row r="40" spans="1:14" x14ac:dyDescent="0.2">
      <c r="A40" s="436" t="s">
        <v>55</v>
      </c>
      <c r="B40" s="437">
        <f t="shared" ref="B40" si="52">SUM(B33:B39)</f>
        <v>605.10678408992874</v>
      </c>
      <c r="C40" s="437">
        <f t="shared" ref="C40" si="53">SUM(C33:C39)</f>
        <v>30559.235626769187</v>
      </c>
      <c r="D40" s="437">
        <f t="shared" ref="D40" si="54">SUM(D33:D39)</f>
        <v>39996.277572394909</v>
      </c>
      <c r="E40" s="437">
        <f t="shared" ref="E40" si="55">SUM(E33:E39)</f>
        <v>45231.058361215859</v>
      </c>
      <c r="F40" s="437">
        <f t="shared" ref="F40" si="56">SUM(F33:F39)</f>
        <v>58803.44895465373</v>
      </c>
      <c r="G40" s="437">
        <f t="shared" ref="G40" si="57">SUM(G33:G39)</f>
        <v>77795.614936637096</v>
      </c>
      <c r="H40" s="437">
        <f t="shared" ref="H40" si="58">SUM(H33:H39)</f>
        <v>100453.14533387258</v>
      </c>
      <c r="I40" s="437">
        <f t="shared" ref="I40" si="59">SUM(I33:I39)</f>
        <v>114126.2707385832</v>
      </c>
      <c r="J40" s="437">
        <f t="shared" ref="J40" si="60">SUM(J33:J39)</f>
        <v>115725.3557008952</v>
      </c>
      <c r="K40" s="437">
        <f t="shared" ref="K40" si="61">SUM(K33:K39)</f>
        <v>122869.58686343998</v>
      </c>
      <c r="L40" s="437">
        <f t="shared" ref="L40" si="62">SUM(L33:L39)</f>
        <v>127894.18258043552</v>
      </c>
      <c r="M40" s="437">
        <f t="shared" si="45"/>
        <v>834059.28345298721</v>
      </c>
    </row>
    <row r="41" spans="1:14" s="7" customFormat="1" ht="35.25" customHeight="1" x14ac:dyDescent="0.2">
      <c r="A41" s="50"/>
      <c r="B41" s="433"/>
      <c r="C41" s="433"/>
      <c r="D41" s="433"/>
      <c r="E41" s="433"/>
      <c r="F41" s="433"/>
      <c r="G41" s="433"/>
      <c r="H41" s="433"/>
      <c r="I41" s="433"/>
      <c r="J41" s="433"/>
      <c r="K41" s="433"/>
      <c r="L41" s="433"/>
      <c r="M41" s="433"/>
    </row>
    <row r="42" spans="1:14" ht="20.25" x14ac:dyDescent="0.3">
      <c r="A42" s="518" t="s">
        <v>443</v>
      </c>
      <c r="B42" s="518"/>
      <c r="C42" s="518"/>
      <c r="D42" s="518"/>
      <c r="E42" s="518"/>
      <c r="F42" s="518"/>
      <c r="G42" s="518"/>
      <c r="H42" s="518"/>
      <c r="I42" s="518"/>
      <c r="J42" s="518"/>
      <c r="K42" s="518"/>
      <c r="L42" s="518"/>
    </row>
    <row r="43" spans="1:14" x14ac:dyDescent="0.2">
      <c r="A43" s="258"/>
      <c r="B43" s="100">
        <v>2020</v>
      </c>
      <c r="C43" s="100">
        <v>2021</v>
      </c>
      <c r="D43" s="100">
        <v>2022</v>
      </c>
      <c r="E43" s="100">
        <v>2023</v>
      </c>
      <c r="F43" s="100">
        <v>2024</v>
      </c>
      <c r="G43" s="100">
        <v>2025</v>
      </c>
      <c r="H43" s="100">
        <v>2026</v>
      </c>
      <c r="I43" s="100">
        <v>2027</v>
      </c>
      <c r="J43" s="100">
        <v>2028</v>
      </c>
      <c r="K43" s="100">
        <v>2029</v>
      </c>
      <c r="L43" s="100">
        <v>2030</v>
      </c>
    </row>
    <row r="44" spans="1:14" x14ac:dyDescent="0.2">
      <c r="A44" s="220" t="s">
        <v>42</v>
      </c>
      <c r="B44" s="254">
        <f>'Stock projection'!B47</f>
        <v>37.799999999999997</v>
      </c>
      <c r="C44" s="254">
        <f>'Stock projection'!C47</f>
        <v>38</v>
      </c>
      <c r="D44" s="254">
        <f>'Stock projection'!D47</f>
        <v>38.34896486736033</v>
      </c>
      <c r="E44" s="254">
        <f>'Stock projection'!E47</f>
        <v>38.701134378895709</v>
      </c>
      <c r="F44" s="254">
        <f>'Stock projection'!F47</f>
        <v>39.056537963770069</v>
      </c>
      <c r="G44" s="254">
        <f>'Stock projection'!G47</f>
        <v>39.415205321403775</v>
      </c>
      <c r="H44" s="254">
        <f>'Stock projection'!H47</f>
        <v>39.777166423955457</v>
      </c>
      <c r="I44" s="254">
        <f>'Stock projection'!I47</f>
        <v>40.142451518826654</v>
      </c>
      <c r="J44" s="254">
        <f>'Stock projection'!J47</f>
        <v>40.511091131189438</v>
      </c>
      <c r="K44" s="254">
        <f>'Stock projection'!K47</f>
        <v>40.883116066537276</v>
      </c>
      <c r="L44" s="254">
        <f>'Stock projection'!L47</f>
        <v>41.258557413259282</v>
      </c>
      <c r="N44" s="12" t="s">
        <v>363</v>
      </c>
    </row>
    <row r="45" spans="1:14" x14ac:dyDescent="0.2">
      <c r="A45" s="108" t="s">
        <v>230</v>
      </c>
      <c r="B45" s="255">
        <v>16000</v>
      </c>
      <c r="C45" s="109">
        <f>($L$45/$B$45)^(1/10)*B45</f>
        <v>16000</v>
      </c>
      <c r="D45" s="109">
        <f t="shared" ref="D45:K45" si="63">($L$45/$B$45)^(1/10)*C45</f>
        <v>16000</v>
      </c>
      <c r="E45" s="109">
        <f t="shared" si="63"/>
        <v>16000</v>
      </c>
      <c r="F45" s="109">
        <f t="shared" si="63"/>
        <v>16000</v>
      </c>
      <c r="G45" s="109">
        <f t="shared" si="63"/>
        <v>16000</v>
      </c>
      <c r="H45" s="109">
        <f t="shared" si="63"/>
        <v>16000</v>
      </c>
      <c r="I45" s="109">
        <f t="shared" si="63"/>
        <v>16000</v>
      </c>
      <c r="J45" s="109">
        <f t="shared" si="63"/>
        <v>16000</v>
      </c>
      <c r="K45" s="109">
        <f t="shared" si="63"/>
        <v>16000</v>
      </c>
      <c r="L45" s="107">
        <f>'The Low Carbon Scenario'!C72</f>
        <v>16000</v>
      </c>
      <c r="N45" s="12" t="s">
        <v>363</v>
      </c>
    </row>
    <row r="46" spans="1:14" x14ac:dyDescent="0.2">
      <c r="A46" s="108" t="s">
        <v>321</v>
      </c>
      <c r="B46" s="255">
        <f>B44*B45</f>
        <v>604800</v>
      </c>
      <c r="C46" s="255">
        <f t="shared" ref="C46:L46" si="64">C44*C45</f>
        <v>608000</v>
      </c>
      <c r="D46" s="255">
        <f t="shared" si="64"/>
        <v>613583.43787776527</v>
      </c>
      <c r="E46" s="255">
        <f t="shared" si="64"/>
        <v>619218.15006233135</v>
      </c>
      <c r="F46" s="255">
        <f t="shared" si="64"/>
        <v>624904.60742032109</v>
      </c>
      <c r="G46" s="255">
        <f t="shared" si="64"/>
        <v>630643.28514246037</v>
      </c>
      <c r="H46" s="255">
        <f t="shared" si="64"/>
        <v>636434.66278328735</v>
      </c>
      <c r="I46" s="255">
        <f t="shared" si="64"/>
        <v>642279.22430122644</v>
      </c>
      <c r="J46" s="255">
        <f t="shared" si="64"/>
        <v>648177.45809903101</v>
      </c>
      <c r="K46" s="255">
        <f t="shared" si="64"/>
        <v>654129.85706459638</v>
      </c>
      <c r="L46" s="255">
        <f t="shared" si="64"/>
        <v>660136.9186121485</v>
      </c>
      <c r="N46" s="12" t="s">
        <v>363</v>
      </c>
    </row>
    <row r="47" spans="1:14" x14ac:dyDescent="0.2">
      <c r="A47" s="250" t="s">
        <v>73</v>
      </c>
      <c r="B47" s="251">
        <v>2020</v>
      </c>
      <c r="C47" s="251">
        <v>2021</v>
      </c>
      <c r="D47" s="251">
        <v>2022</v>
      </c>
      <c r="E47" s="251">
        <v>2023</v>
      </c>
      <c r="F47" s="251">
        <v>2024</v>
      </c>
      <c r="G47" s="251">
        <v>2025</v>
      </c>
      <c r="H47" s="251">
        <v>2026</v>
      </c>
      <c r="I47" s="251">
        <v>2027</v>
      </c>
      <c r="J47" s="251">
        <v>2028</v>
      </c>
      <c r="K47" s="251">
        <v>2029</v>
      </c>
      <c r="L47" s="251">
        <v>2030</v>
      </c>
      <c r="N47" s="12" t="s">
        <v>363</v>
      </c>
    </row>
    <row r="48" spans="1:14" x14ac:dyDescent="0.2">
      <c r="A48" s="252" t="s">
        <v>44</v>
      </c>
      <c r="B48" s="253">
        <f>1-SUM(B49:B51)</f>
        <v>0.94399999999999995</v>
      </c>
      <c r="C48" s="253">
        <f>($L48/$B48)^(1/10)*B48</f>
        <v>0.94248916516726211</v>
      </c>
      <c r="D48" s="253">
        <f t="shared" ref="D48:K48" si="65">($L48/$B48)^(1/10)*C48</f>
        <v>0.94098074836618939</v>
      </c>
      <c r="E48" s="253">
        <f t="shared" si="65"/>
        <v>0.93947474572681722</v>
      </c>
      <c r="F48" s="253">
        <f t="shared" si="65"/>
        <v>0.93797115338537485</v>
      </c>
      <c r="G48" s="253">
        <f t="shared" si="65"/>
        <v>0.93646996748427536</v>
      </c>
      <c r="H48" s="253">
        <f t="shared" si="65"/>
        <v>0.93497118417210578</v>
      </c>
      <c r="I48" s="253">
        <f t="shared" si="65"/>
        <v>0.93347479960361712</v>
      </c>
      <c r="J48" s="253">
        <f t="shared" si="65"/>
        <v>0.93198080993971455</v>
      </c>
      <c r="K48" s="253">
        <f t="shared" si="65"/>
        <v>0.93048921134744744</v>
      </c>
      <c r="L48" s="328">
        <f>1-SUM(L49:L51)</f>
        <v>0.92900000000000005</v>
      </c>
      <c r="N48" s="12" t="s">
        <v>363</v>
      </c>
    </row>
    <row r="49" spans="1:16" x14ac:dyDescent="0.2">
      <c r="A49" s="252" t="s">
        <v>67</v>
      </c>
      <c r="B49" s="253">
        <v>3.9E-2</v>
      </c>
      <c r="C49" s="253">
        <f t="shared" ref="C49:K49" si="66">($L49/$B49)^(1/10)*B49</f>
        <v>3.9E-2</v>
      </c>
      <c r="D49" s="253">
        <f t="shared" si="66"/>
        <v>3.9E-2</v>
      </c>
      <c r="E49" s="253">
        <f t="shared" si="66"/>
        <v>3.9E-2</v>
      </c>
      <c r="F49" s="253">
        <f t="shared" si="66"/>
        <v>3.9E-2</v>
      </c>
      <c r="G49" s="253">
        <f t="shared" si="66"/>
        <v>3.9E-2</v>
      </c>
      <c r="H49" s="253">
        <f t="shared" si="66"/>
        <v>3.9E-2</v>
      </c>
      <c r="I49" s="253">
        <f t="shared" si="66"/>
        <v>3.9E-2</v>
      </c>
      <c r="J49" s="253">
        <f t="shared" si="66"/>
        <v>3.9E-2</v>
      </c>
      <c r="K49" s="253">
        <f t="shared" si="66"/>
        <v>3.9E-2</v>
      </c>
      <c r="L49" s="111">
        <f>'The Low Carbon Scenario'!C75*' Calcs &amp; Detailed Results'!P49</f>
        <v>3.9E-2</v>
      </c>
      <c r="N49" s="12" t="s">
        <v>363</v>
      </c>
      <c r="P49" s="112">
        <v>0.72222222222222221</v>
      </c>
    </row>
    <row r="50" spans="1:16" x14ac:dyDescent="0.2">
      <c r="A50" s="252" t="s">
        <v>60</v>
      </c>
      <c r="B50" s="253">
        <v>1.4999999999999999E-2</v>
      </c>
      <c r="C50" s="253">
        <f t="shared" ref="C50:K50" si="67">($L50/$B50)^(1/10)*B50</f>
        <v>1.4999999999999999E-2</v>
      </c>
      <c r="D50" s="253">
        <f t="shared" si="67"/>
        <v>1.4999999999999999E-2</v>
      </c>
      <c r="E50" s="253">
        <f t="shared" si="67"/>
        <v>1.4999999999999999E-2</v>
      </c>
      <c r="F50" s="253">
        <f t="shared" si="67"/>
        <v>1.4999999999999999E-2</v>
      </c>
      <c r="G50" s="253">
        <f t="shared" si="67"/>
        <v>1.4999999999999999E-2</v>
      </c>
      <c r="H50" s="253">
        <f t="shared" si="67"/>
        <v>1.4999999999999999E-2</v>
      </c>
      <c r="I50" s="253">
        <f t="shared" si="67"/>
        <v>1.4999999999999999E-2</v>
      </c>
      <c r="J50" s="253">
        <f t="shared" si="67"/>
        <v>1.4999999999999999E-2</v>
      </c>
      <c r="K50" s="253">
        <f t="shared" si="67"/>
        <v>1.4999999999999999E-2</v>
      </c>
      <c r="L50" s="111">
        <f>'The Low Carbon Scenario'!C75-' Calcs &amp; Detailed Results'!L49</f>
        <v>1.4999999999999999E-2</v>
      </c>
      <c r="N50" s="12" t="s">
        <v>363</v>
      </c>
    </row>
    <row r="51" spans="1:16" x14ac:dyDescent="0.2">
      <c r="A51" s="252" t="s">
        <v>68</v>
      </c>
      <c r="B51" s="253">
        <v>2E-3</v>
      </c>
      <c r="C51" s="253">
        <f t="shared" ref="C51:K51" si="68">($L51/$B51)^(1/10)*B51</f>
        <v>2.4772616999622073E-3</v>
      </c>
      <c r="D51" s="253">
        <f t="shared" si="68"/>
        <v>3.0684127650498225E-3</v>
      </c>
      <c r="E51" s="253">
        <f t="shared" si="68"/>
        <v>3.8006307112665302E-3</v>
      </c>
      <c r="F51" s="253">
        <f t="shared" si="68"/>
        <v>4.7075784483603484E-3</v>
      </c>
      <c r="G51" s="253">
        <f t="shared" si="68"/>
        <v>5.8309518948453029E-3</v>
      </c>
      <c r="H51" s="253">
        <f t="shared" si="68"/>
        <v>7.2223969017111639E-3</v>
      </c>
      <c r="I51" s="253">
        <f t="shared" si="68"/>
        <v>8.9458836132673882E-3</v>
      </c>
      <c r="J51" s="253">
        <f t="shared" si="68"/>
        <v>1.1080647423733412E-2</v>
      </c>
      <c r="K51" s="253">
        <f t="shared" si="68"/>
        <v>1.3724831736799841E-2</v>
      </c>
      <c r="L51" s="111">
        <f>'The Low Carbon Scenario'!C74</f>
        <v>1.7000000000000001E-2</v>
      </c>
      <c r="N51" s="12" t="s">
        <v>363</v>
      </c>
    </row>
    <row r="52" spans="1:16" x14ac:dyDescent="0.2">
      <c r="A52" s="246" t="s">
        <v>69</v>
      </c>
      <c r="B52" s="260">
        <v>2020</v>
      </c>
      <c r="C52" s="261">
        <v>2021</v>
      </c>
      <c r="D52" s="261">
        <v>2022</v>
      </c>
      <c r="E52" s="261">
        <v>2023</v>
      </c>
      <c r="F52" s="261">
        <v>2024</v>
      </c>
      <c r="G52" s="261">
        <v>2025</v>
      </c>
      <c r="H52" s="261">
        <v>2026</v>
      </c>
      <c r="I52" s="261">
        <v>2027</v>
      </c>
      <c r="J52" s="261">
        <v>2028</v>
      </c>
      <c r="K52" s="261">
        <v>2029</v>
      </c>
      <c r="L52" s="260">
        <v>2030</v>
      </c>
      <c r="N52" s="12" t="s">
        <v>363</v>
      </c>
    </row>
    <row r="53" spans="1:16" x14ac:dyDescent="0.2">
      <c r="A53" s="248" t="s">
        <v>44</v>
      </c>
      <c r="B53" s="247">
        <v>1.5</v>
      </c>
      <c r="C53" s="247">
        <v>1.5</v>
      </c>
      <c r="D53" s="247">
        <v>1.5</v>
      </c>
      <c r="E53" s="247">
        <v>1.5</v>
      </c>
      <c r="F53" s="247">
        <v>1.5</v>
      </c>
      <c r="G53" s="247">
        <v>1.5</v>
      </c>
      <c r="H53" s="247">
        <v>1.5</v>
      </c>
      <c r="I53" s="247">
        <v>1.5</v>
      </c>
      <c r="J53" s="247">
        <v>1.5</v>
      </c>
      <c r="K53" s="247">
        <v>1.5</v>
      </c>
      <c r="L53" s="247">
        <v>1.5</v>
      </c>
      <c r="N53" s="12" t="s">
        <v>363</v>
      </c>
    </row>
    <row r="54" spans="1:16" x14ac:dyDescent="0.2">
      <c r="A54" s="248" t="s">
        <v>67</v>
      </c>
      <c r="B54" s="247">
        <v>20</v>
      </c>
      <c r="C54" s="249">
        <v>20</v>
      </c>
      <c r="D54" s="249">
        <v>20</v>
      </c>
      <c r="E54" s="249">
        <v>20</v>
      </c>
      <c r="F54" s="249">
        <v>20</v>
      </c>
      <c r="G54" s="249">
        <v>20</v>
      </c>
      <c r="H54" s="249">
        <v>20</v>
      </c>
      <c r="I54" s="249">
        <v>20</v>
      </c>
      <c r="J54" s="249">
        <v>20</v>
      </c>
      <c r="K54" s="249">
        <v>20</v>
      </c>
      <c r="L54" s="247">
        <v>20</v>
      </c>
      <c r="N54" s="12" t="s">
        <v>363</v>
      </c>
    </row>
    <row r="55" spans="1:16" x14ac:dyDescent="0.2">
      <c r="A55" s="248" t="s">
        <v>60</v>
      </c>
      <c r="B55" s="247">
        <v>40</v>
      </c>
      <c r="C55" s="249">
        <v>40</v>
      </c>
      <c r="D55" s="249">
        <v>40</v>
      </c>
      <c r="E55" s="249">
        <v>40</v>
      </c>
      <c r="F55" s="249">
        <v>40</v>
      </c>
      <c r="G55" s="249">
        <v>40</v>
      </c>
      <c r="H55" s="249">
        <v>40</v>
      </c>
      <c r="I55" s="249">
        <v>40</v>
      </c>
      <c r="J55" s="249">
        <v>40</v>
      </c>
      <c r="K55" s="249">
        <v>40</v>
      </c>
      <c r="L55" s="247">
        <v>40</v>
      </c>
      <c r="N55" s="12" t="s">
        <v>363</v>
      </c>
    </row>
    <row r="56" spans="1:16" x14ac:dyDescent="0.2">
      <c r="A56" s="248" t="s">
        <v>68</v>
      </c>
      <c r="B56" s="247">
        <v>1</v>
      </c>
      <c r="C56" s="249">
        <v>1</v>
      </c>
      <c r="D56" s="249">
        <v>1</v>
      </c>
      <c r="E56" s="249">
        <v>1</v>
      </c>
      <c r="F56" s="249">
        <v>1</v>
      </c>
      <c r="G56" s="249">
        <v>1</v>
      </c>
      <c r="H56" s="249">
        <v>1</v>
      </c>
      <c r="I56" s="249">
        <v>1</v>
      </c>
      <c r="J56" s="249">
        <v>1</v>
      </c>
      <c r="K56" s="249">
        <v>1</v>
      </c>
      <c r="L56" s="247">
        <v>1</v>
      </c>
      <c r="N56" s="12" t="s">
        <v>363</v>
      </c>
    </row>
    <row r="57" spans="1:16" x14ac:dyDescent="0.2">
      <c r="A57" s="241" t="s">
        <v>96</v>
      </c>
      <c r="B57" s="242">
        <v>2020</v>
      </c>
      <c r="C57" s="242">
        <v>2021</v>
      </c>
      <c r="D57" s="242">
        <v>2022</v>
      </c>
      <c r="E57" s="242">
        <v>2023</v>
      </c>
      <c r="F57" s="242">
        <v>2024</v>
      </c>
      <c r="G57" s="242">
        <v>2025</v>
      </c>
      <c r="H57" s="242">
        <v>2026</v>
      </c>
      <c r="I57" s="242">
        <v>2027</v>
      </c>
      <c r="J57" s="242">
        <v>2028</v>
      </c>
      <c r="K57" s="242">
        <v>2029</v>
      </c>
      <c r="L57" s="242">
        <v>2030</v>
      </c>
      <c r="N57" s="12" t="s">
        <v>363</v>
      </c>
    </row>
    <row r="58" spans="1:16" x14ac:dyDescent="0.2">
      <c r="A58" s="243" t="s">
        <v>44</v>
      </c>
      <c r="B58" s="244">
        <f t="shared" ref="B58:C61" si="69">B$46*B48/B53</f>
        <v>380620.79999999999</v>
      </c>
      <c r="C58" s="245">
        <f t="shared" si="69"/>
        <v>382022.27494779689</v>
      </c>
      <c r="D58" s="245">
        <f t="shared" ref="D58:K58" si="70">D$46*D48/D53</f>
        <v>384913.46837287926</v>
      </c>
      <c r="E58" s="245">
        <f t="shared" si="70"/>
        <v>387826.54271949263</v>
      </c>
      <c r="F58" s="245">
        <f t="shared" si="70"/>
        <v>390761.66358524893</v>
      </c>
      <c r="G58" s="245">
        <f t="shared" si="70"/>
        <v>393718.99782102433</v>
      </c>
      <c r="H58" s="245">
        <f t="shared" si="70"/>
        <v>396698.71354044328</v>
      </c>
      <c r="I58" s="245">
        <f t="shared" si="70"/>
        <v>399700.98012943595</v>
      </c>
      <c r="J58" s="245">
        <f t="shared" si="70"/>
        <v>402725.96825586684</v>
      </c>
      <c r="K58" s="245">
        <f t="shared" si="70"/>
        <v>405773.84987923648</v>
      </c>
      <c r="L58" s="244">
        <f>L$46*L48/L53</f>
        <v>408844.79826045735</v>
      </c>
      <c r="N58" s="12" t="s">
        <v>363</v>
      </c>
    </row>
    <row r="59" spans="1:16" x14ac:dyDescent="0.2">
      <c r="A59" s="243" t="s">
        <v>67</v>
      </c>
      <c r="B59" s="244">
        <f t="shared" si="69"/>
        <v>1179.3600000000001</v>
      </c>
      <c r="C59" s="245">
        <f t="shared" si="69"/>
        <v>1185.5999999999999</v>
      </c>
      <c r="D59" s="245">
        <f t="shared" ref="D59:K59" si="71">D$46*D49/D54</f>
        <v>1196.4877038616423</v>
      </c>
      <c r="E59" s="245">
        <f t="shared" si="71"/>
        <v>1207.475392621546</v>
      </c>
      <c r="F59" s="245">
        <f t="shared" si="71"/>
        <v>1218.5639844696261</v>
      </c>
      <c r="G59" s="245">
        <f t="shared" si="71"/>
        <v>1229.7544060277978</v>
      </c>
      <c r="H59" s="245">
        <f t="shared" si="71"/>
        <v>1241.0475924274103</v>
      </c>
      <c r="I59" s="245">
        <f t="shared" si="71"/>
        <v>1252.4444873873915</v>
      </c>
      <c r="J59" s="245">
        <f t="shared" si="71"/>
        <v>1263.9460432931105</v>
      </c>
      <c r="K59" s="245">
        <f t="shared" si="71"/>
        <v>1275.5532212759631</v>
      </c>
      <c r="L59" s="244">
        <f>L$46*L49/L54</f>
        <v>1287.2669912936894</v>
      </c>
      <c r="N59" s="12" t="s">
        <v>363</v>
      </c>
      <c r="O59" s="12" t="s">
        <v>190</v>
      </c>
    </row>
    <row r="60" spans="1:16" x14ac:dyDescent="0.2">
      <c r="A60" s="243" t="s">
        <v>60</v>
      </c>
      <c r="B60" s="244">
        <f t="shared" si="69"/>
        <v>226.8</v>
      </c>
      <c r="C60" s="245">
        <f t="shared" si="69"/>
        <v>228</v>
      </c>
      <c r="D60" s="245">
        <f t="shared" ref="D60:K60" si="72">D$46*D50/D55</f>
        <v>230.09378920416196</v>
      </c>
      <c r="E60" s="245">
        <f t="shared" si="72"/>
        <v>232.20680627337424</v>
      </c>
      <c r="F60" s="245">
        <f t="shared" si="72"/>
        <v>234.33922778262041</v>
      </c>
      <c r="G60" s="245">
        <f t="shared" si="72"/>
        <v>236.49123192842262</v>
      </c>
      <c r="H60" s="245">
        <f t="shared" si="72"/>
        <v>238.66299854373273</v>
      </c>
      <c r="I60" s="245">
        <f t="shared" si="72"/>
        <v>240.85470911295994</v>
      </c>
      <c r="J60" s="245">
        <f t="shared" si="72"/>
        <v>243.06654678713662</v>
      </c>
      <c r="K60" s="245">
        <f t="shared" si="72"/>
        <v>245.29869639922362</v>
      </c>
      <c r="L60" s="244">
        <f>L$46*L50/L55</f>
        <v>247.55134447955567</v>
      </c>
      <c r="N60" s="12" t="s">
        <v>363</v>
      </c>
    </row>
    <row r="61" spans="1:16" x14ac:dyDescent="0.2">
      <c r="A61" s="243" t="s">
        <v>68</v>
      </c>
      <c r="B61" s="244">
        <f t="shared" si="69"/>
        <v>1209.6000000000001</v>
      </c>
      <c r="C61" s="245">
        <f t="shared" si="69"/>
        <v>1506.1751135770221</v>
      </c>
      <c r="D61" s="245">
        <f t="shared" ref="D61:K61" si="73">D$46*D51/D56</f>
        <v>1882.7272532072898</v>
      </c>
      <c r="E61" s="245">
        <f t="shared" si="73"/>
        <v>2353.4195181005434</v>
      </c>
      <c r="F61" s="245">
        <f t="shared" si="73"/>
        <v>2941.7874621729879</v>
      </c>
      <c r="G61" s="245">
        <f t="shared" si="73"/>
        <v>3677.2506584728958</v>
      </c>
      <c r="H61" s="245">
        <f t="shared" si="73"/>
        <v>4596.5837366276037</v>
      </c>
      <c r="I61" s="245">
        <f t="shared" si="73"/>
        <v>5745.7551878184313</v>
      </c>
      <c r="J61" s="245">
        <f t="shared" si="73"/>
        <v>7182.2258812070995</v>
      </c>
      <c r="K61" s="245">
        <f t="shared" si="73"/>
        <v>8977.8222222285167</v>
      </c>
      <c r="L61" s="244">
        <f>L$46*L51/L56</f>
        <v>11222.327616406525</v>
      </c>
      <c r="N61" s="12" t="s">
        <v>363</v>
      </c>
    </row>
    <row r="62" spans="1:16" x14ac:dyDescent="0.2">
      <c r="A62" s="221" t="s">
        <v>80</v>
      </c>
      <c r="B62" s="222">
        <v>2020</v>
      </c>
      <c r="C62" s="222">
        <v>2021</v>
      </c>
      <c r="D62" s="222">
        <v>2022</v>
      </c>
      <c r="E62" s="222">
        <v>2023</v>
      </c>
      <c r="F62" s="222">
        <v>2024</v>
      </c>
      <c r="G62" s="222">
        <v>2025</v>
      </c>
      <c r="H62" s="222">
        <v>2026</v>
      </c>
      <c r="I62" s="222">
        <v>2027</v>
      </c>
      <c r="J62" s="222">
        <v>2028</v>
      </c>
      <c r="K62" s="222">
        <v>2029</v>
      </c>
      <c r="L62" s="222">
        <v>2030</v>
      </c>
      <c r="N62" s="12" t="s">
        <v>363</v>
      </c>
    </row>
    <row r="63" spans="1:16" x14ac:dyDescent="0.2">
      <c r="A63" s="215" t="s">
        <v>62</v>
      </c>
      <c r="B63" s="256">
        <f>'Stock projection'!B7-'Stock projection'!B22</f>
        <v>11436.269686555626</v>
      </c>
      <c r="C63" s="257">
        <f>'Stock projection'!C7-'Stock projection'!C22</f>
        <v>11490.285288788164</v>
      </c>
      <c r="D63" s="257">
        <f>'Stock projection'!D7-'Stock projection'!D22</f>
        <v>11448.097671828153</v>
      </c>
      <c r="E63" s="257">
        <f>'Stock projection'!E7-'Stock projection'!E22</f>
        <v>11338.019448820385</v>
      </c>
      <c r="F63" s="257">
        <f>'Stock projection'!F7-'Stock projection'!F22</f>
        <v>11158.566044553045</v>
      </c>
      <c r="G63" s="257">
        <f>'Stock projection'!G7-'Stock projection'!G22</f>
        <v>10823.32622173434</v>
      </c>
      <c r="H63" s="257">
        <f>'Stock projection'!H7-'Stock projection'!H22</f>
        <v>10330.596848717036</v>
      </c>
      <c r="I63" s="257">
        <f>'Stock projection'!I7-'Stock projection'!I22</f>
        <v>9713.0017789483736</v>
      </c>
      <c r="J63" s="257">
        <f>'Stock projection'!J7-'Stock projection'!J22</f>
        <v>9021.4477752229159</v>
      </c>
      <c r="K63" s="257">
        <f>'Stock projection'!K7-'Stock projection'!K22</f>
        <v>8151.0891567406206</v>
      </c>
      <c r="L63" s="256">
        <f>'Stock projection'!L7-'Stock projection'!L22</f>
        <v>7335.9802410665588</v>
      </c>
      <c r="N63" s="12" t="s">
        <v>363</v>
      </c>
    </row>
    <row r="64" spans="1:16" x14ac:dyDescent="0.2">
      <c r="A64" s="215" t="s">
        <v>100</v>
      </c>
      <c r="B64" s="256">
        <f>'Stock projection'!B34</f>
        <v>30</v>
      </c>
      <c r="C64" s="257">
        <f>'Stock projection'!C34</f>
        <v>133.97896602704162</v>
      </c>
      <c r="D64" s="257">
        <f>'Stock projection'!D34</f>
        <v>331.40790978982437</v>
      </c>
      <c r="E64" s="257">
        <f>'Stock projection'!E34</f>
        <v>594.3800044429297</v>
      </c>
      <c r="F64" s="257">
        <f>'Stock projection'!F34</f>
        <v>924.74633748914721</v>
      </c>
      <c r="G64" s="257">
        <f>'Stock projection'!G34</f>
        <v>1409.249324949893</v>
      </c>
      <c r="H64" s="257">
        <f>'Stock projection'!H34</f>
        <v>2049.8914901734952</v>
      </c>
      <c r="I64" s="257">
        <f>'Stock projection'!I34</f>
        <v>2814.3197763965745</v>
      </c>
      <c r="J64" s="257">
        <f>'Stock projection'!J34</f>
        <v>3651.8724954344411</v>
      </c>
      <c r="K64" s="257">
        <f>'Stock projection'!K34</f>
        <v>4667.6172664063752</v>
      </c>
      <c r="L64" s="256">
        <f>'Stock projection'!L22</f>
        <v>5627.7009011166638</v>
      </c>
      <c r="N64" s="12" t="s">
        <v>363</v>
      </c>
    </row>
    <row r="65" spans="1:14" x14ac:dyDescent="0.2">
      <c r="A65" s="215" t="s">
        <v>70</v>
      </c>
      <c r="B65" s="256">
        <f>'Stock projection'!B8-'Stock projection'!B23</f>
        <v>11340.799140632158</v>
      </c>
      <c r="C65" s="257">
        <f>'Stock projection'!C8-'Stock projection'!C23</f>
        <v>11326.686638259172</v>
      </c>
      <c r="D65" s="257">
        <f>'Stock projection'!D8-'Stock projection'!D23</f>
        <v>11240.043451631245</v>
      </c>
      <c r="E65" s="257">
        <f>'Stock projection'!E8-'Stock projection'!E23</f>
        <v>11068.104737022455</v>
      </c>
      <c r="F65" s="257">
        <f>'Stock projection'!F8-'Stock projection'!F23</f>
        <v>10829.823812742037</v>
      </c>
      <c r="G65" s="257">
        <f>'Stock projection'!G8-'Stock projection'!G23</f>
        <v>10498.739869967299</v>
      </c>
      <c r="H65" s="257">
        <f>'Stock projection'!H8-'Stock projection'!H23</f>
        <v>10050.0713427541</v>
      </c>
      <c r="I65" s="257">
        <f>'Stock projection'!I8-'Stock projection'!I23</f>
        <v>9492.4876401281199</v>
      </c>
      <c r="J65" s="257">
        <f>'Stock projection'!J8-'Stock projection'!J23</f>
        <v>8866.0229232338224</v>
      </c>
      <c r="K65" s="257">
        <f>'Stock projection'!K8-'Stock projection'!K23</f>
        <v>8077.22419718735</v>
      </c>
      <c r="L65" s="256">
        <f>'Stock projection'!L8-'Stock projection'!L23</f>
        <v>7269.5017774686148</v>
      </c>
      <c r="N65" s="12" t="s">
        <v>363</v>
      </c>
    </row>
    <row r="66" spans="1:14" x14ac:dyDescent="0.2">
      <c r="A66" s="215" t="s">
        <v>71</v>
      </c>
      <c r="B66" s="256">
        <f>'Stock projection'!B23</f>
        <v>1</v>
      </c>
      <c r="C66" s="257">
        <f>'Stock projection'!C23</f>
        <v>85.1986223852861</v>
      </c>
      <c r="D66" s="257">
        <f>'Stock projection'!D23</f>
        <v>246.96197736503535</v>
      </c>
      <c r="E66" s="257">
        <f>'Stock projection'!E23</f>
        <v>498.6719304346293</v>
      </c>
      <c r="F66" s="257">
        <f>'Stock projection'!F23</f>
        <v>821.03168714337789</v>
      </c>
      <c r="G66" s="257">
        <f>'Stock projection'!G23</f>
        <v>1240.1941440953512</v>
      </c>
      <c r="H66" s="257">
        <f>'Stock projection'!H23</f>
        <v>1780.6649747097199</v>
      </c>
      <c r="I66" s="257">
        <f>'Stock projection'!I23</f>
        <v>2433.52770744483</v>
      </c>
      <c r="J66" s="257">
        <f>'Stock projection'!J23</f>
        <v>3158.5270780558967</v>
      </c>
      <c r="K66" s="257">
        <f>'Stock projection'!K23</f>
        <v>4048.9183543322033</v>
      </c>
      <c r="L66" s="256">
        <f>'Stock projection'!L23</f>
        <v>4961.1145447613762</v>
      </c>
      <c r="N66" s="12" t="s">
        <v>363</v>
      </c>
    </row>
    <row r="67" spans="1:14" x14ac:dyDescent="0.2">
      <c r="A67" s="237" t="s">
        <v>101</v>
      </c>
      <c r="B67" s="100">
        <v>2020</v>
      </c>
      <c r="C67" s="100">
        <v>2021</v>
      </c>
      <c r="D67" s="100">
        <v>2022</v>
      </c>
      <c r="E67" s="100">
        <v>2023</v>
      </c>
      <c r="F67" s="100">
        <v>2024</v>
      </c>
      <c r="G67" s="100">
        <v>2025</v>
      </c>
      <c r="H67" s="100">
        <v>2026</v>
      </c>
      <c r="I67" s="100">
        <v>2027</v>
      </c>
      <c r="J67" s="100">
        <v>2028</v>
      </c>
      <c r="K67" s="100">
        <v>2029</v>
      </c>
      <c r="L67" s="100">
        <v>2030</v>
      </c>
      <c r="N67" s="12" t="s">
        <v>363</v>
      </c>
    </row>
    <row r="68" spans="1:14" x14ac:dyDescent="0.2">
      <c r="A68" s="238" t="s">
        <v>62</v>
      </c>
      <c r="B68" s="239">
        <f>B63/SUM(B$63:B$66)</f>
        <v>0.50141332759059853</v>
      </c>
      <c r="C68" s="240">
        <f t="shared" ref="C68:K68" si="74">C63/SUM(C$63:C$66)</f>
        <v>0.49879365824904814</v>
      </c>
      <c r="D68" s="240">
        <f t="shared" si="74"/>
        <v>0.4920418736872707</v>
      </c>
      <c r="E68" s="240">
        <f t="shared" si="74"/>
        <v>0.48248582803816198</v>
      </c>
      <c r="F68" s="240">
        <f t="shared" si="74"/>
        <v>0.47014776755875815</v>
      </c>
      <c r="G68" s="240">
        <f t="shared" si="74"/>
        <v>0.45150791168602217</v>
      </c>
      <c r="H68" s="240">
        <f t="shared" si="74"/>
        <v>0.42668625793803955</v>
      </c>
      <c r="I68" s="240">
        <f t="shared" si="74"/>
        <v>0.39720557638043119</v>
      </c>
      <c r="J68" s="240">
        <f t="shared" si="74"/>
        <v>0.36527229578454262</v>
      </c>
      <c r="K68" s="240">
        <f t="shared" si="74"/>
        <v>0.32676442198622618</v>
      </c>
      <c r="L68" s="239">
        <f>L63/SUM(L$63:L$66)</f>
        <v>0.29117621761148865</v>
      </c>
      <c r="N68" s="12" t="s">
        <v>363</v>
      </c>
    </row>
    <row r="69" spans="1:14" x14ac:dyDescent="0.2">
      <c r="A69" s="238" t="s">
        <v>100</v>
      </c>
      <c r="B69" s="438">
        <f>B64/SUM(B$63:B$66)</f>
        <v>1.3153239858799117E-3</v>
      </c>
      <c r="C69" s="439">
        <f t="shared" ref="C69:K69" si="75">C64/SUM(C$63:C$66)</f>
        <v>5.8160312745464578E-3</v>
      </c>
      <c r="D69" s="439">
        <f t="shared" si="75"/>
        <v>1.4243988264447343E-2</v>
      </c>
      <c r="E69" s="439">
        <f t="shared" si="75"/>
        <v>2.5293652908913479E-2</v>
      </c>
      <c r="F69" s="439">
        <f t="shared" si="75"/>
        <v>3.8962661007942719E-2</v>
      </c>
      <c r="G69" s="439">
        <f t="shared" si="75"/>
        <v>5.8788509809057886E-2</v>
      </c>
      <c r="H69" s="439">
        <f t="shared" si="75"/>
        <v>8.4666988938764454E-2</v>
      </c>
      <c r="I69" s="439">
        <f t="shared" si="75"/>
        <v>0.11508939608404753</v>
      </c>
      <c r="J69" s="439">
        <f t="shared" si="75"/>
        <v>0.14786183809469586</v>
      </c>
      <c r="K69" s="439">
        <f t="shared" si="75"/>
        <v>0.18711747949032312</v>
      </c>
      <c r="L69" s="438">
        <f>L64/SUM(L$63:L$66)</f>
        <v>0.22337201142702059</v>
      </c>
      <c r="N69" s="12" t="s">
        <v>363</v>
      </c>
    </row>
    <row r="70" spans="1:14" x14ac:dyDescent="0.2">
      <c r="A70" s="238" t="s">
        <v>70</v>
      </c>
      <c r="B70" s="239">
        <f>B65/SUM(B$63:B$66)</f>
        <v>0.49722750429065893</v>
      </c>
      <c r="C70" s="240">
        <f t="shared" ref="C70:K70" si="76">C65/SUM(C$63:C$66)</f>
        <v>0.49169183550652779</v>
      </c>
      <c r="D70" s="240">
        <f t="shared" si="76"/>
        <v>0.4830996554018564</v>
      </c>
      <c r="E70" s="240">
        <f t="shared" si="76"/>
        <v>0.47099969293234722</v>
      </c>
      <c r="F70" s="240">
        <f t="shared" si="76"/>
        <v>0.4562967560783292</v>
      </c>
      <c r="G70" s="240">
        <f t="shared" si="76"/>
        <v>0.43796740640643195</v>
      </c>
      <c r="H70" s="240">
        <f t="shared" si="76"/>
        <v>0.41509966907503831</v>
      </c>
      <c r="I70" s="240">
        <f t="shared" si="76"/>
        <v>0.38818782392825196</v>
      </c>
      <c r="J70" s="240">
        <f t="shared" si="76"/>
        <v>0.35897924904497691</v>
      </c>
      <c r="K70" s="240">
        <f t="shared" si="76"/>
        <v>0.32380329122819729</v>
      </c>
      <c r="L70" s="239">
        <f>L65/SUM(L$63:L$66)</f>
        <v>0.28853758624294806</v>
      </c>
      <c r="N70" s="12" t="s">
        <v>363</v>
      </c>
    </row>
    <row r="71" spans="1:14" x14ac:dyDescent="0.2">
      <c r="A71" s="238" t="s">
        <v>71</v>
      </c>
      <c r="B71" s="239">
        <f>B66/SUM(B$63:B$66)</f>
        <v>4.3844132862663724E-5</v>
      </c>
      <c r="C71" s="240">
        <f t="shared" ref="C71:K71" si="77">C66/SUM(C$63:C$66)</f>
        <v>3.6984749698776233E-3</v>
      </c>
      <c r="D71" s="240">
        <f t="shared" si="77"/>
        <v>1.0614482646425607E-2</v>
      </c>
      <c r="E71" s="240">
        <f t="shared" si="77"/>
        <v>2.1220826120577279E-2</v>
      </c>
      <c r="F71" s="240">
        <f t="shared" si="77"/>
        <v>3.4592815354969858E-2</v>
      </c>
      <c r="G71" s="240">
        <f t="shared" si="77"/>
        <v>5.1736172098487999E-2</v>
      </c>
      <c r="H71" s="240">
        <f t="shared" si="77"/>
        <v>7.3547084048157629E-2</v>
      </c>
      <c r="I71" s="240">
        <f t="shared" si="77"/>
        <v>9.9517203607269178E-2</v>
      </c>
      <c r="J71" s="240">
        <f t="shared" si="77"/>
        <v>0.12788661707578447</v>
      </c>
      <c r="K71" s="240">
        <f t="shared" si="77"/>
        <v>0.16231480729525352</v>
      </c>
      <c r="L71" s="239">
        <f>L66/SUM(L$63:L$66)</f>
        <v>0.19691418471854275</v>
      </c>
      <c r="N71" s="12" t="s">
        <v>363</v>
      </c>
    </row>
    <row r="72" spans="1:14" x14ac:dyDescent="0.2">
      <c r="A72" s="238" t="s">
        <v>102</v>
      </c>
      <c r="B72" s="239">
        <f>1-B73</f>
        <v>1</v>
      </c>
      <c r="C72" s="239">
        <f t="shared" ref="C72:L72" si="78">1-C73</f>
        <v>0.9916666666666667</v>
      </c>
      <c r="D72" s="239">
        <f t="shared" si="78"/>
        <v>0.97499999999999998</v>
      </c>
      <c r="E72" s="239">
        <f t="shared" si="78"/>
        <v>0.93333333333333335</v>
      </c>
      <c r="F72" s="239">
        <f t="shared" si="78"/>
        <v>0.85</v>
      </c>
      <c r="G72" s="239">
        <f t="shared" si="78"/>
        <v>0.75</v>
      </c>
      <c r="H72" s="239">
        <f t="shared" si="78"/>
        <v>0.6333333333333333</v>
      </c>
      <c r="I72" s="239">
        <f t="shared" si="78"/>
        <v>0.51666666666666661</v>
      </c>
      <c r="J72" s="239">
        <f t="shared" si="78"/>
        <v>0.4</v>
      </c>
      <c r="K72" s="239">
        <f t="shared" si="78"/>
        <v>0.28333333333333333</v>
      </c>
      <c r="L72" s="239">
        <f t="shared" si="78"/>
        <v>0.16666666666666663</v>
      </c>
      <c r="N72" s="12" t="s">
        <v>363</v>
      </c>
    </row>
    <row r="73" spans="1:14" x14ac:dyDescent="0.2">
      <c r="A73" s="238" t="s">
        <v>103</v>
      </c>
      <c r="B73" s="329">
        <f>B163/'Stock projection'!B29</f>
        <v>0</v>
      </c>
      <c r="C73" s="329">
        <f>C163/'Stock projection'!C29</f>
        <v>8.3333333333333332E-3</v>
      </c>
      <c r="D73" s="329">
        <f>D163/'Stock projection'!D29</f>
        <v>2.5000000000000001E-2</v>
      </c>
      <c r="E73" s="329">
        <f>E163/'Stock projection'!E29</f>
        <v>6.6666666666666666E-2</v>
      </c>
      <c r="F73" s="329">
        <f>F163/'Stock projection'!F29</f>
        <v>0.15</v>
      </c>
      <c r="G73" s="329">
        <f>G163/'Stock projection'!G29</f>
        <v>0.25</v>
      </c>
      <c r="H73" s="329">
        <f>H163/'Stock projection'!H29</f>
        <v>0.36666666666666664</v>
      </c>
      <c r="I73" s="329">
        <f>I163/'Stock projection'!I29</f>
        <v>0.48333333333333334</v>
      </c>
      <c r="J73" s="329">
        <f>J163/'Stock projection'!J29</f>
        <v>0.6</v>
      </c>
      <c r="K73" s="329">
        <f>K163/'Stock projection'!K29</f>
        <v>0.71666666666666667</v>
      </c>
      <c r="L73" s="329">
        <f>L163/'Stock projection'!L29</f>
        <v>0.83333333333333337</v>
      </c>
      <c r="N73" s="12" t="s">
        <v>363</v>
      </c>
    </row>
    <row r="74" spans="1:14" x14ac:dyDescent="0.2">
      <c r="A74" s="233" t="s">
        <v>72</v>
      </c>
      <c r="B74" s="136">
        <v>2020</v>
      </c>
      <c r="C74" s="136">
        <v>2021</v>
      </c>
      <c r="D74" s="136">
        <v>2022</v>
      </c>
      <c r="E74" s="136">
        <v>2023</v>
      </c>
      <c r="F74" s="136">
        <v>2024</v>
      </c>
      <c r="G74" s="136">
        <v>2025</v>
      </c>
      <c r="H74" s="136">
        <v>2026</v>
      </c>
      <c r="I74" s="136">
        <v>2027</v>
      </c>
      <c r="J74" s="136">
        <v>2028</v>
      </c>
      <c r="K74" s="136">
        <v>2029</v>
      </c>
      <c r="L74" s="136">
        <v>2030</v>
      </c>
      <c r="N74" s="12" t="s">
        <v>363</v>
      </c>
    </row>
    <row r="75" spans="1:14" x14ac:dyDescent="0.2">
      <c r="A75" s="135" t="s">
        <v>74</v>
      </c>
      <c r="B75" s="136">
        <v>8</v>
      </c>
      <c r="C75" s="235">
        <f>($L75/$B75)^(1/10)*B75</f>
        <v>8</v>
      </c>
      <c r="D75" s="235">
        <f t="shared" ref="D75:K75" si="79">($L75/$B75)^(1/10)*C75</f>
        <v>8</v>
      </c>
      <c r="E75" s="235">
        <f t="shared" si="79"/>
        <v>8</v>
      </c>
      <c r="F75" s="235">
        <f t="shared" si="79"/>
        <v>8</v>
      </c>
      <c r="G75" s="235">
        <f t="shared" si="79"/>
        <v>8</v>
      </c>
      <c r="H75" s="235">
        <f t="shared" si="79"/>
        <v>8</v>
      </c>
      <c r="I75" s="235">
        <f t="shared" si="79"/>
        <v>8</v>
      </c>
      <c r="J75" s="235">
        <f t="shared" si="79"/>
        <v>8</v>
      </c>
      <c r="K75" s="235">
        <f t="shared" si="79"/>
        <v>8</v>
      </c>
      <c r="L75" s="107">
        <f>'The Low Carbon Scenario'!B58</f>
        <v>8</v>
      </c>
      <c r="N75" s="12" t="s">
        <v>363</v>
      </c>
    </row>
    <row r="76" spans="1:14" x14ac:dyDescent="0.2">
      <c r="A76" s="135" t="s">
        <v>75</v>
      </c>
      <c r="B76" s="136">
        <v>20</v>
      </c>
      <c r="C76" s="235">
        <f t="shared" ref="C76:K76" si="80">($L76/$B76)^(1/10)*B76</f>
        <v>20</v>
      </c>
      <c r="D76" s="235">
        <f t="shared" si="80"/>
        <v>20</v>
      </c>
      <c r="E76" s="235">
        <f t="shared" si="80"/>
        <v>20</v>
      </c>
      <c r="F76" s="235">
        <f t="shared" si="80"/>
        <v>20</v>
      </c>
      <c r="G76" s="235">
        <f t="shared" si="80"/>
        <v>20</v>
      </c>
      <c r="H76" s="235">
        <f t="shared" si="80"/>
        <v>20</v>
      </c>
      <c r="I76" s="235">
        <f t="shared" si="80"/>
        <v>20</v>
      </c>
      <c r="J76" s="235">
        <f t="shared" si="80"/>
        <v>20</v>
      </c>
      <c r="K76" s="235">
        <f t="shared" si="80"/>
        <v>20</v>
      </c>
      <c r="L76" s="107">
        <f>'The Low Carbon Scenario'!B59</f>
        <v>20</v>
      </c>
      <c r="N76" s="12" t="s">
        <v>363</v>
      </c>
    </row>
    <row r="77" spans="1:14" x14ac:dyDescent="0.2">
      <c r="A77" s="135" t="s">
        <v>76</v>
      </c>
      <c r="B77" s="236">
        <v>10.7</v>
      </c>
      <c r="C77" s="235">
        <f t="shared" ref="C77:K77" si="81">($L77/$B77)^(1/10)*B77</f>
        <v>10.729628082738349</v>
      </c>
      <c r="D77" s="235">
        <f t="shared" si="81"/>
        <v>10.759338205036208</v>
      </c>
      <c r="E77" s="235">
        <f t="shared" si="81"/>
        <v>10.789130594059451</v>
      </c>
      <c r="F77" s="235">
        <f t="shared" si="81"/>
        <v>10.819005477602969</v>
      </c>
      <c r="G77" s="235">
        <f t="shared" si="81"/>
        <v>10.848963084092416</v>
      </c>
      <c r="H77" s="235">
        <f t="shared" si="81"/>
        <v>10.879003642585948</v>
      </c>
      <c r="I77" s="235">
        <f t="shared" si="81"/>
        <v>10.90912738277598</v>
      </c>
      <c r="J77" s="235">
        <f t="shared" si="81"/>
        <v>10.939334534990941</v>
      </c>
      <c r="K77" s="235">
        <f t="shared" si="81"/>
        <v>10.969625330197035</v>
      </c>
      <c r="L77" s="107">
        <f>'The Low Carbon Scenario'!C58</f>
        <v>11</v>
      </c>
      <c r="N77" s="12" t="s">
        <v>363</v>
      </c>
    </row>
    <row r="78" spans="1:14" x14ac:dyDescent="0.2">
      <c r="A78" s="135" t="s">
        <v>77</v>
      </c>
      <c r="B78" s="136">
        <v>25</v>
      </c>
      <c r="C78" s="235">
        <f t="shared" ref="C78:K78" si="82">($L78/$B78)^(1/10)*B78</f>
        <v>25.239414569422173</v>
      </c>
      <c r="D78" s="235">
        <f t="shared" si="82"/>
        <v>25.481121912286412</v>
      </c>
      <c r="E78" s="235">
        <f t="shared" si="82"/>
        <v>25.725143985527371</v>
      </c>
      <c r="F78" s="235">
        <f t="shared" si="82"/>
        <v>25.971502956352111</v>
      </c>
      <c r="G78" s="235">
        <f t="shared" si="82"/>
        <v>26.220221204253782</v>
      </c>
      <c r="H78" s="235">
        <f t="shared" si="82"/>
        <v>26.471321323044606</v>
      </c>
      <c r="I78" s="235">
        <f t="shared" si="82"/>
        <v>26.724826122908315</v>
      </c>
      <c r="J78" s="235">
        <f t="shared" si="82"/>
        <v>26.980758632472259</v>
      </c>
      <c r="K78" s="235">
        <f t="shared" si="82"/>
        <v>27.23914210089934</v>
      </c>
      <c r="L78" s="107">
        <f>'The Low Carbon Scenario'!C59</f>
        <v>27.5</v>
      </c>
      <c r="N78" s="12" t="s">
        <v>363</v>
      </c>
    </row>
    <row r="79" spans="1:14" x14ac:dyDescent="0.2">
      <c r="A79" s="135" t="s">
        <v>79</v>
      </c>
      <c r="B79" s="136">
        <v>10</v>
      </c>
      <c r="C79" s="136">
        <v>10</v>
      </c>
      <c r="D79" s="136">
        <v>10</v>
      </c>
      <c r="E79" s="136">
        <v>10</v>
      </c>
      <c r="F79" s="136">
        <v>10</v>
      </c>
      <c r="G79" s="136">
        <v>10</v>
      </c>
      <c r="H79" s="136">
        <v>10</v>
      </c>
      <c r="I79" s="136">
        <v>10</v>
      </c>
      <c r="J79" s="136">
        <v>10</v>
      </c>
      <c r="K79" s="136">
        <v>10</v>
      </c>
      <c r="L79" s="136">
        <v>10</v>
      </c>
      <c r="N79" s="12" t="s">
        <v>363</v>
      </c>
    </row>
    <row r="80" spans="1:14" x14ac:dyDescent="0.2">
      <c r="A80" s="135" t="s">
        <v>263</v>
      </c>
      <c r="B80" s="136">
        <v>11</v>
      </c>
      <c r="C80" s="235">
        <f t="shared" ref="C80:K80" si="83">($L80/$B80)^(1/10)*B80</f>
        <v>11</v>
      </c>
      <c r="D80" s="235">
        <f t="shared" si="83"/>
        <v>11</v>
      </c>
      <c r="E80" s="235">
        <f t="shared" si="83"/>
        <v>11</v>
      </c>
      <c r="F80" s="235">
        <f t="shared" si="83"/>
        <v>11</v>
      </c>
      <c r="G80" s="235">
        <f t="shared" si="83"/>
        <v>11</v>
      </c>
      <c r="H80" s="235">
        <f t="shared" si="83"/>
        <v>11</v>
      </c>
      <c r="I80" s="235">
        <f t="shared" si="83"/>
        <v>11</v>
      </c>
      <c r="J80" s="235">
        <f t="shared" si="83"/>
        <v>11</v>
      </c>
      <c r="K80" s="235">
        <f t="shared" si="83"/>
        <v>11</v>
      </c>
      <c r="L80" s="128">
        <f>'The Low Carbon Scenario'!B67</f>
        <v>11</v>
      </c>
      <c r="N80" s="12" t="s">
        <v>363</v>
      </c>
    </row>
    <row r="81" spans="1:14" x14ac:dyDescent="0.2">
      <c r="A81" s="135" t="s">
        <v>264</v>
      </c>
      <c r="B81" s="136">
        <v>20.6</v>
      </c>
      <c r="C81" s="235">
        <f t="shared" ref="C81:K81" si="84">($L81/$B81)^(1/10)*B81</f>
        <v>20.639654724067224</v>
      </c>
      <c r="D81" s="235">
        <f t="shared" si="84"/>
        <v>20.679385782947108</v>
      </c>
      <c r="E81" s="235">
        <f t="shared" si="84"/>
        <v>20.719193323583145</v>
      </c>
      <c r="F81" s="235">
        <f t="shared" si="84"/>
        <v>20.759077493201694</v>
      </c>
      <c r="G81" s="235">
        <f t="shared" si="84"/>
        <v>20.799038439312518</v>
      </c>
      <c r="H81" s="235">
        <f t="shared" si="84"/>
        <v>20.839076309709338</v>
      </c>
      <c r="I81" s="235">
        <f t="shared" si="84"/>
        <v>20.87919125247037</v>
      </c>
      <c r="J81" s="235">
        <f t="shared" si="84"/>
        <v>20.919383415958887</v>
      </c>
      <c r="K81" s="235">
        <f t="shared" si="84"/>
        <v>20.959652948823752</v>
      </c>
      <c r="L81" s="128">
        <f>'The Low Carbon Scenario'!C67</f>
        <v>21</v>
      </c>
      <c r="N81" s="12" t="s">
        <v>363</v>
      </c>
    </row>
    <row r="82" spans="1:14" x14ac:dyDescent="0.2">
      <c r="A82" s="135" t="s">
        <v>262</v>
      </c>
      <c r="B82" s="136">
        <v>30.8</v>
      </c>
      <c r="C82" s="235">
        <f t="shared" ref="C82:K82" si="85">($L82/$B82)^(1/10)*B82</f>
        <v>30.81994179765984</v>
      </c>
      <c r="D82" s="235">
        <f t="shared" si="85"/>
        <v>30.839896506855197</v>
      </c>
      <c r="E82" s="235">
        <f t="shared" si="85"/>
        <v>30.859864135945788</v>
      </c>
      <c r="F82" s="235">
        <f t="shared" si="85"/>
        <v>30.879844693296736</v>
      </c>
      <c r="G82" s="235">
        <f t="shared" si="85"/>
        <v>30.899838187278586</v>
      </c>
      <c r="H82" s="235">
        <f t="shared" si="85"/>
        <v>30.919844626267306</v>
      </c>
      <c r="I82" s="235">
        <f t="shared" si="85"/>
        <v>30.939864018644279</v>
      </c>
      <c r="J82" s="235">
        <f t="shared" si="85"/>
        <v>30.959896372796319</v>
      </c>
      <c r="K82" s="235">
        <f t="shared" si="85"/>
        <v>30.979941697115667</v>
      </c>
      <c r="L82" s="128">
        <f>'The Low Carbon Scenario'!D67</f>
        <v>31</v>
      </c>
      <c r="N82" s="12" t="s">
        <v>363</v>
      </c>
    </row>
    <row r="83" spans="1:14" x14ac:dyDescent="0.2">
      <c r="A83" s="138" t="s">
        <v>81</v>
      </c>
      <c r="B83" s="103">
        <v>2020</v>
      </c>
      <c r="C83" s="103">
        <v>2021</v>
      </c>
      <c r="D83" s="103">
        <v>2022</v>
      </c>
      <c r="E83" s="103">
        <v>2023</v>
      </c>
      <c r="F83" s="103">
        <v>2024</v>
      </c>
      <c r="G83" s="103">
        <v>2025</v>
      </c>
      <c r="H83" s="103">
        <v>2026</v>
      </c>
      <c r="I83" s="103">
        <v>2027</v>
      </c>
      <c r="J83" s="103">
        <v>2028</v>
      </c>
      <c r="K83" s="103">
        <v>2029</v>
      </c>
      <c r="L83" s="103">
        <v>2030</v>
      </c>
      <c r="M83" s="140"/>
      <c r="N83" s="12" t="s">
        <v>363</v>
      </c>
    </row>
    <row r="84" spans="1:14" x14ac:dyDescent="0.2">
      <c r="A84" s="73" t="s">
        <v>104</v>
      </c>
      <c r="B84" s="105">
        <f t="shared" ref="B84:L84" si="86">(B75*B68*B58+B77*B70*B58)/100</f>
        <v>35518.166310022854</v>
      </c>
      <c r="C84" s="105">
        <f t="shared" si="86"/>
        <v>35398.259607643791</v>
      </c>
      <c r="D84" s="105">
        <f t="shared" si="86"/>
        <v>35158.641195686134</v>
      </c>
      <c r="E84" s="105">
        <f t="shared" si="86"/>
        <v>34677.757832484509</v>
      </c>
      <c r="F84" s="105">
        <f t="shared" si="86"/>
        <v>33987.899477743449</v>
      </c>
      <c r="G84" s="105">
        <f t="shared" si="86"/>
        <v>32928.906966207025</v>
      </c>
      <c r="H84" s="105">
        <f t="shared" si="86"/>
        <v>31455.672584722295</v>
      </c>
      <c r="I84" s="105">
        <f t="shared" si="86"/>
        <v>29627.575469242947</v>
      </c>
      <c r="J84" s="105">
        <f t="shared" si="86"/>
        <v>27583.396117919438</v>
      </c>
      <c r="K84" s="105">
        <f t="shared" si="86"/>
        <v>25020.486935926801</v>
      </c>
      <c r="L84" s="105">
        <f t="shared" si="86"/>
        <v>22500.050591995285</v>
      </c>
      <c r="M84" s="140">
        <f t="shared" ref="M84:M95" si="87">SUM(B84:L84)</f>
        <v>343856.81308959448</v>
      </c>
      <c r="N84" s="12" t="s">
        <v>363</v>
      </c>
    </row>
    <row r="85" spans="1:14" x14ac:dyDescent="0.2">
      <c r="A85" s="73" t="s">
        <v>105</v>
      </c>
      <c r="B85" s="105">
        <f t="shared" ref="B85:L85" si="88">B164*B72*B59/100</f>
        <v>707.6160000000001</v>
      </c>
      <c r="C85" s="105">
        <f t="shared" si="88"/>
        <v>705.43200000000002</v>
      </c>
      <c r="D85" s="105">
        <f t="shared" si="88"/>
        <v>699.94530675906071</v>
      </c>
      <c r="E85" s="105">
        <f t="shared" si="88"/>
        <v>676.18621986806579</v>
      </c>
      <c r="F85" s="105">
        <f t="shared" si="88"/>
        <v>621.46763207950937</v>
      </c>
      <c r="G85" s="105">
        <f t="shared" si="88"/>
        <v>553.38948271250911</v>
      </c>
      <c r="H85" s="105">
        <f t="shared" si="88"/>
        <v>471.59808512241597</v>
      </c>
      <c r="I85" s="105">
        <f t="shared" si="88"/>
        <v>388.25779109009136</v>
      </c>
      <c r="J85" s="105">
        <f t="shared" si="88"/>
        <v>303.34705039034651</v>
      </c>
      <c r="K85" s="105">
        <f t="shared" si="88"/>
        <v>216.84404761691374</v>
      </c>
      <c r="L85" s="105">
        <f t="shared" si="88"/>
        <v>128.72669912936891</v>
      </c>
      <c r="M85" s="140">
        <f t="shared" si="87"/>
        <v>5472.8103147682805</v>
      </c>
      <c r="N85" s="12" t="s">
        <v>363</v>
      </c>
    </row>
    <row r="86" spans="1:14" x14ac:dyDescent="0.2">
      <c r="A86" s="73" t="s">
        <v>106</v>
      </c>
      <c r="B86" s="105">
        <f t="shared" ref="B86:L86" si="89">B58*B69*B76/100+B58*B71*B78/100+B60*B79</f>
        <v>2372.2999307843334</v>
      </c>
      <c r="C86" s="105">
        <f t="shared" si="89"/>
        <v>3080.9783432162894</v>
      </c>
      <c r="D86" s="105">
        <f t="shared" si="89"/>
        <v>4438.5498025902616</v>
      </c>
      <c r="E86" s="105">
        <f t="shared" si="89"/>
        <v>6401.1573091259706</v>
      </c>
      <c r="F86" s="105">
        <f t="shared" si="89"/>
        <v>8899.125003268502</v>
      </c>
      <c r="G86" s="105">
        <f t="shared" si="89"/>
        <v>12335.074536748718</v>
      </c>
      <c r="H86" s="105">
        <f t="shared" si="89"/>
        <v>16827.368714312404</v>
      </c>
      <c r="I86" s="105">
        <f t="shared" si="89"/>
        <v>22239.183152596823</v>
      </c>
      <c r="J86" s="105">
        <f t="shared" si="89"/>
        <v>28236.19657493617</v>
      </c>
      <c r="K86" s="105">
        <f t="shared" si="89"/>
        <v>35579.007528829738</v>
      </c>
      <c r="L86" s="105">
        <f t="shared" si="89"/>
        <v>42879.928969193752</v>
      </c>
      <c r="M86" s="140">
        <f t="shared" si="87"/>
        <v>183288.86986560296</v>
      </c>
      <c r="N86" s="12" t="s">
        <v>363</v>
      </c>
    </row>
    <row r="87" spans="1:14" x14ac:dyDescent="0.2">
      <c r="A87" s="233" t="s">
        <v>43</v>
      </c>
      <c r="B87" s="136">
        <v>2020</v>
      </c>
      <c r="C87" s="136">
        <v>2021</v>
      </c>
      <c r="D87" s="136">
        <v>2022</v>
      </c>
      <c r="E87" s="136">
        <v>2023</v>
      </c>
      <c r="F87" s="136">
        <v>2024</v>
      </c>
      <c r="G87" s="136">
        <v>2025</v>
      </c>
      <c r="H87" s="136">
        <v>2026</v>
      </c>
      <c r="I87" s="136">
        <v>2027</v>
      </c>
      <c r="J87" s="136">
        <v>2028</v>
      </c>
      <c r="K87" s="136">
        <v>2029</v>
      </c>
      <c r="L87" s="136">
        <v>2030</v>
      </c>
      <c r="M87" s="140"/>
      <c r="N87" s="12" t="s">
        <v>363</v>
      </c>
    </row>
    <row r="88" spans="1:14" x14ac:dyDescent="0.2">
      <c r="A88" s="135" t="s">
        <v>166</v>
      </c>
      <c r="B88" s="234">
        <f t="shared" ref="B88:L88" si="90">B84*emgasoline</f>
        <v>81691.78251305256</v>
      </c>
      <c r="C88" s="235">
        <f t="shared" si="90"/>
        <v>81415.997097580708</v>
      </c>
      <c r="D88" s="235">
        <f t="shared" si="90"/>
        <v>80864.874750078103</v>
      </c>
      <c r="E88" s="235">
        <f t="shared" si="90"/>
        <v>79758.843014714366</v>
      </c>
      <c r="F88" s="235">
        <f t="shared" si="90"/>
        <v>78172.168798809929</v>
      </c>
      <c r="G88" s="235">
        <f t="shared" si="90"/>
        <v>75736.486022276149</v>
      </c>
      <c r="H88" s="235">
        <f t="shared" si="90"/>
        <v>72348.046944861271</v>
      </c>
      <c r="I88" s="235">
        <f t="shared" si="90"/>
        <v>68143.423579258771</v>
      </c>
      <c r="J88" s="235">
        <f t="shared" si="90"/>
        <v>63441.811071214703</v>
      </c>
      <c r="K88" s="235">
        <f t="shared" si="90"/>
        <v>57547.119952631641</v>
      </c>
      <c r="L88" s="234">
        <f t="shared" si="90"/>
        <v>51750.116361589149</v>
      </c>
      <c r="M88" s="140">
        <f t="shared" si="87"/>
        <v>790870.67010606744</v>
      </c>
      <c r="N88" s="12" t="s">
        <v>363</v>
      </c>
    </row>
    <row r="89" spans="1:14" x14ac:dyDescent="0.2">
      <c r="A89" s="135" t="s">
        <v>167</v>
      </c>
      <c r="B89" s="234">
        <f t="shared" ref="B89:L89" si="91">B85*emdiesel</f>
        <v>1896.4108800000004</v>
      </c>
      <c r="C89" s="235">
        <f t="shared" si="91"/>
        <v>1890.5577600000001</v>
      </c>
      <c r="D89" s="235">
        <f t="shared" si="91"/>
        <v>1875.8534221142829</v>
      </c>
      <c r="E89" s="235">
        <f t="shared" si="91"/>
        <v>1812.1790692464165</v>
      </c>
      <c r="F89" s="235">
        <f t="shared" si="91"/>
        <v>1665.5332539730853</v>
      </c>
      <c r="G89" s="235">
        <f t="shared" si="91"/>
        <v>1483.0838136695245</v>
      </c>
      <c r="H89" s="235">
        <f t="shared" si="91"/>
        <v>1263.882868128075</v>
      </c>
      <c r="I89" s="235">
        <f t="shared" si="91"/>
        <v>1040.5308801214449</v>
      </c>
      <c r="J89" s="235">
        <f t="shared" si="91"/>
        <v>812.97009504612868</v>
      </c>
      <c r="K89" s="235">
        <f t="shared" si="91"/>
        <v>581.14204761332883</v>
      </c>
      <c r="L89" s="234">
        <f t="shared" si="91"/>
        <v>344.98755366670872</v>
      </c>
      <c r="M89" s="140">
        <f t="shared" si="87"/>
        <v>14667.131643578996</v>
      </c>
      <c r="N89" s="12" t="s">
        <v>363</v>
      </c>
    </row>
    <row r="90" spans="1:14" x14ac:dyDescent="0.2">
      <c r="A90" s="135" t="s">
        <v>168</v>
      </c>
      <c r="B90" s="234">
        <f t="shared" ref="B90:H90" si="92">B86*B207/1000</f>
        <v>298.67085459514988</v>
      </c>
      <c r="C90" s="234">
        <f t="shared" si="92"/>
        <v>387.92397715063868</v>
      </c>
      <c r="D90" s="234">
        <f t="shared" si="92"/>
        <v>558.89960798377035</v>
      </c>
      <c r="E90" s="234">
        <f t="shared" si="92"/>
        <v>806.09446220181712</v>
      </c>
      <c r="F90" s="234">
        <f t="shared" si="92"/>
        <v>1120.7518755531912</v>
      </c>
      <c r="G90" s="234">
        <f t="shared" si="92"/>
        <v>1553.5980766378395</v>
      </c>
      <c r="H90" s="234">
        <f t="shared" si="92"/>
        <v>2119.5703582023243</v>
      </c>
      <c r="I90" s="235">
        <f t="shared" ref="I90:L90" si="93">I86*gfactorkwh/1000</f>
        <v>2799.8971594996001</v>
      </c>
      <c r="J90" s="235">
        <f t="shared" si="93"/>
        <v>3554.916834973978</v>
      </c>
      <c r="K90" s="235">
        <f t="shared" si="93"/>
        <v>4479.3714514713702</v>
      </c>
      <c r="L90" s="235">
        <f t="shared" si="93"/>
        <v>5398.5522083517317</v>
      </c>
      <c r="M90" s="140">
        <f t="shared" si="87"/>
        <v>23078.246866621408</v>
      </c>
      <c r="N90" s="12" t="s">
        <v>363</v>
      </c>
    </row>
    <row r="91" spans="1:14" x14ac:dyDescent="0.2">
      <c r="A91" s="135" t="s">
        <v>169</v>
      </c>
      <c r="B91" s="234">
        <f>SUM(B88:B90)</f>
        <v>83886.864247647711</v>
      </c>
      <c r="C91" s="235">
        <f>SUM(C88:C90)</f>
        <v>83694.478834731344</v>
      </c>
      <c r="D91" s="235">
        <f t="shared" ref="D91:K91" si="94">SUM(D88:D90)</f>
        <v>83299.627780176146</v>
      </c>
      <c r="E91" s="235">
        <f t="shared" si="94"/>
        <v>82377.116546162593</v>
      </c>
      <c r="F91" s="235">
        <f t="shared" si="94"/>
        <v>80958.45392833621</v>
      </c>
      <c r="G91" s="235">
        <f t="shared" si="94"/>
        <v>78773.167912583507</v>
      </c>
      <c r="H91" s="235">
        <f t="shared" si="94"/>
        <v>75731.50017119167</v>
      </c>
      <c r="I91" s="235">
        <f t="shared" si="94"/>
        <v>71983.851618879809</v>
      </c>
      <c r="J91" s="235">
        <f t="shared" si="94"/>
        <v>67809.698001234807</v>
      </c>
      <c r="K91" s="235">
        <f t="shared" si="94"/>
        <v>62607.633451716341</v>
      </c>
      <c r="L91" s="234">
        <f>SUM(L88:L90)</f>
        <v>57493.656123607594</v>
      </c>
      <c r="M91" s="140">
        <f t="shared" si="87"/>
        <v>828616.04861626774</v>
      </c>
      <c r="N91" s="12" t="s">
        <v>363</v>
      </c>
    </row>
    <row r="92" spans="1:14" x14ac:dyDescent="0.2">
      <c r="A92" s="220" t="s">
        <v>224</v>
      </c>
      <c r="B92" s="232">
        <v>2020</v>
      </c>
      <c r="C92" s="232">
        <v>2021</v>
      </c>
      <c r="D92" s="232">
        <v>2022</v>
      </c>
      <c r="E92" s="232">
        <v>2023</v>
      </c>
      <c r="F92" s="232">
        <v>2024</v>
      </c>
      <c r="G92" s="232">
        <v>2025</v>
      </c>
      <c r="H92" s="232">
        <v>2026</v>
      </c>
      <c r="I92" s="232">
        <v>2027</v>
      </c>
      <c r="J92" s="232">
        <v>2028</v>
      </c>
      <c r="K92" s="232">
        <v>2029</v>
      </c>
      <c r="L92" s="232">
        <v>2030</v>
      </c>
      <c r="M92" s="140"/>
      <c r="N92" s="12" t="s">
        <v>363</v>
      </c>
    </row>
    <row r="93" spans="1:14" x14ac:dyDescent="0.2">
      <c r="A93" s="108" t="s">
        <v>173</v>
      </c>
      <c r="B93" s="110">
        <f>B84*B200</f>
        <v>35518.166310022854</v>
      </c>
      <c r="C93" s="110">
        <f t="shared" ref="C93:K93" si="95">C84*gasolineprperL</f>
        <v>35398.259607643791</v>
      </c>
      <c r="D93" s="110">
        <f t="shared" si="95"/>
        <v>35158.641195686134</v>
      </c>
      <c r="E93" s="110">
        <f t="shared" si="95"/>
        <v>34677.757832484509</v>
      </c>
      <c r="F93" s="110">
        <f t="shared" si="95"/>
        <v>33987.899477743449</v>
      </c>
      <c r="G93" s="110">
        <f t="shared" si="95"/>
        <v>32928.906966207025</v>
      </c>
      <c r="H93" s="110">
        <f t="shared" si="95"/>
        <v>31455.672584722295</v>
      </c>
      <c r="I93" s="110">
        <f t="shared" si="95"/>
        <v>29627.575469242947</v>
      </c>
      <c r="J93" s="110">
        <f t="shared" si="95"/>
        <v>27583.396117919438</v>
      </c>
      <c r="K93" s="110">
        <f t="shared" si="95"/>
        <v>25020.486935926801</v>
      </c>
      <c r="L93" s="110">
        <f>L84*fgaspriceperL</f>
        <v>22500.050591995285</v>
      </c>
      <c r="M93" s="140">
        <f t="shared" si="87"/>
        <v>343856.81308959448</v>
      </c>
      <c r="N93" s="12" t="s">
        <v>363</v>
      </c>
    </row>
    <row r="94" spans="1:14" x14ac:dyDescent="0.2">
      <c r="A94" s="108" t="s">
        <v>188</v>
      </c>
      <c r="B94" s="110">
        <f>B85*B201</f>
        <v>707.6160000000001</v>
      </c>
      <c r="C94" s="110">
        <f t="shared" ref="C94:K94" si="96">C85*dieselpriceperL</f>
        <v>705.43200000000002</v>
      </c>
      <c r="D94" s="110">
        <f t="shared" si="96"/>
        <v>699.94530675906071</v>
      </c>
      <c r="E94" s="110">
        <f t="shared" si="96"/>
        <v>676.18621986806579</v>
      </c>
      <c r="F94" s="110">
        <f t="shared" si="96"/>
        <v>621.46763207950937</v>
      </c>
      <c r="G94" s="110">
        <f t="shared" si="96"/>
        <v>553.38948271250911</v>
      </c>
      <c r="H94" s="110">
        <f t="shared" si="96"/>
        <v>471.59808512241597</v>
      </c>
      <c r="I94" s="110">
        <f t="shared" si="96"/>
        <v>388.25779109009136</v>
      </c>
      <c r="J94" s="110">
        <f t="shared" si="96"/>
        <v>303.34705039034651</v>
      </c>
      <c r="K94" s="110">
        <f t="shared" si="96"/>
        <v>216.84404761691374</v>
      </c>
      <c r="L94" s="110">
        <f>L85*fdieselpriceperL</f>
        <v>128.72669912936891</v>
      </c>
      <c r="M94" s="140">
        <f t="shared" si="87"/>
        <v>5472.8103147682805</v>
      </c>
      <c r="N94" s="12" t="s">
        <v>363</v>
      </c>
    </row>
    <row r="95" spans="1:14" x14ac:dyDescent="0.2">
      <c r="A95" s="108" t="s">
        <v>191</v>
      </c>
      <c r="B95" s="110">
        <f>B86*B202</f>
        <v>284.67599169412</v>
      </c>
      <c r="C95" s="110">
        <f t="shared" ref="C95:L95" si="97">C86*C202</f>
        <v>369.71740118595471</v>
      </c>
      <c r="D95" s="110">
        <f t="shared" si="97"/>
        <v>532.62597631083133</v>
      </c>
      <c r="E95" s="110">
        <f t="shared" si="97"/>
        <v>768.13887709511641</v>
      </c>
      <c r="F95" s="110">
        <f t="shared" si="97"/>
        <v>1067.8950003922203</v>
      </c>
      <c r="G95" s="110">
        <f t="shared" si="97"/>
        <v>1480.208944409846</v>
      </c>
      <c r="H95" s="110">
        <f t="shared" si="97"/>
        <v>2019.2842457174884</v>
      </c>
      <c r="I95" s="110">
        <f t="shared" si="97"/>
        <v>2668.7019783116189</v>
      </c>
      <c r="J95" s="110">
        <f t="shared" si="97"/>
        <v>3388.3435889923403</v>
      </c>
      <c r="K95" s="110">
        <f t="shared" si="97"/>
        <v>4269.4809034595683</v>
      </c>
      <c r="L95" s="110">
        <f t="shared" si="97"/>
        <v>5145.5914763032497</v>
      </c>
      <c r="M95" s="140">
        <f t="shared" si="87"/>
        <v>21994.664383872354</v>
      </c>
      <c r="N95" s="12" t="s">
        <v>363</v>
      </c>
    </row>
    <row r="96" spans="1:14" x14ac:dyDescent="0.2">
      <c r="A96" s="108" t="s">
        <v>192</v>
      </c>
      <c r="B96" s="110">
        <f>SUM(B93:B95)</f>
        <v>36510.458301716979</v>
      </c>
      <c r="C96" s="110">
        <f>SUM(C93:C95)</f>
        <v>36473.409008829745</v>
      </c>
      <c r="D96" s="110">
        <f t="shared" ref="D96:K96" si="98">SUM(D93:D95)</f>
        <v>36391.212478756024</v>
      </c>
      <c r="E96" s="110">
        <f t="shared" si="98"/>
        <v>36122.082929447693</v>
      </c>
      <c r="F96" s="110">
        <f t="shared" si="98"/>
        <v>35677.262110215182</v>
      </c>
      <c r="G96" s="110">
        <f t="shared" si="98"/>
        <v>34962.505393329382</v>
      </c>
      <c r="H96" s="110">
        <f t="shared" si="98"/>
        <v>33946.554915562199</v>
      </c>
      <c r="I96" s="110">
        <f t="shared" si="98"/>
        <v>32684.535238644658</v>
      </c>
      <c r="J96" s="110">
        <f t="shared" si="98"/>
        <v>31275.086757302124</v>
      </c>
      <c r="K96" s="110">
        <f t="shared" si="98"/>
        <v>29506.811887003281</v>
      </c>
      <c r="L96" s="110">
        <f>SUM(L93:L95)</f>
        <v>27774.368767427903</v>
      </c>
      <c r="M96" s="140">
        <f>SUM(B96:L96)</f>
        <v>371324.28778823517</v>
      </c>
      <c r="N96" s="12" t="s">
        <v>363</v>
      </c>
    </row>
    <row r="97" spans="1:14" x14ac:dyDescent="0.2">
      <c r="A97" s="138" t="s">
        <v>189</v>
      </c>
      <c r="B97" s="103">
        <v>2020</v>
      </c>
      <c r="C97" s="103">
        <v>2021</v>
      </c>
      <c r="D97" s="103">
        <v>2022</v>
      </c>
      <c r="E97" s="103">
        <v>2023</v>
      </c>
      <c r="F97" s="103">
        <v>2024</v>
      </c>
      <c r="G97" s="103">
        <v>2025</v>
      </c>
      <c r="H97" s="103">
        <v>2026</v>
      </c>
      <c r="I97" s="103">
        <v>2027</v>
      </c>
      <c r="J97" s="103">
        <v>2028</v>
      </c>
      <c r="K97" s="103">
        <v>2029</v>
      </c>
      <c r="L97" s="103">
        <v>2030</v>
      </c>
      <c r="M97" s="140"/>
      <c r="N97" s="12" t="s">
        <v>363</v>
      </c>
    </row>
    <row r="98" spans="1:14" x14ac:dyDescent="0.2">
      <c r="A98" s="73" t="s">
        <v>193</v>
      </c>
      <c r="B98" s="231">
        <f>'Stock projection'!B52</f>
        <v>2500</v>
      </c>
      <c r="C98" s="104">
        <f>'Stock projection'!C52</f>
        <v>2325</v>
      </c>
      <c r="D98" s="104">
        <f>'Stock projection'!D52</f>
        <v>2162.25</v>
      </c>
      <c r="E98" s="104">
        <f>'Stock projection'!E52</f>
        <v>2010.8924999999999</v>
      </c>
      <c r="F98" s="104">
        <f>'Stock projection'!F52</f>
        <v>1870.1300249999997</v>
      </c>
      <c r="G98" s="104">
        <f>'Stock projection'!G52</f>
        <v>1739.2209232499997</v>
      </c>
      <c r="H98" s="104">
        <f>'Stock projection'!H52</f>
        <v>1617.4754586224997</v>
      </c>
      <c r="I98" s="104">
        <f>'Stock projection'!I52</f>
        <v>1504.2521765189247</v>
      </c>
      <c r="J98" s="104">
        <f>'Stock projection'!J52</f>
        <v>1398.9545241625999</v>
      </c>
      <c r="K98" s="104">
        <f>'Stock projection'!K52</f>
        <v>1301.0277074712178</v>
      </c>
      <c r="L98" s="104">
        <f>'Stock projection'!L52</f>
        <v>1209.9557679482325</v>
      </c>
      <c r="M98" s="140">
        <f t="shared" ref="M98:M102" si="99">SUM(B98:L98)</f>
        <v>19639.159082973471</v>
      </c>
      <c r="N98" s="12" t="s">
        <v>363</v>
      </c>
    </row>
    <row r="99" spans="1:14" x14ac:dyDescent="0.2">
      <c r="A99" s="73" t="s">
        <v>194</v>
      </c>
      <c r="B99" s="231">
        <f>'Stock projection'!B53</f>
        <v>15000</v>
      </c>
      <c r="C99" s="104">
        <f>'Stock projection'!C53</f>
        <v>13500</v>
      </c>
      <c r="D99" s="104">
        <f>'Stock projection'!D53</f>
        <v>12555</v>
      </c>
      <c r="E99" s="104">
        <f>'Stock projection'!E53</f>
        <v>11676.15</v>
      </c>
      <c r="F99" s="104">
        <f>'Stock projection'!F53</f>
        <v>10858.8195</v>
      </c>
      <c r="G99" s="104">
        <f>'Stock projection'!G53</f>
        <v>10098.702135</v>
      </c>
      <c r="H99" s="104">
        <f>'Stock projection'!H53</f>
        <v>9391.7929855499988</v>
      </c>
      <c r="I99" s="104">
        <f>'Stock projection'!I53</f>
        <v>8734.3674765614978</v>
      </c>
      <c r="J99" s="104">
        <f>'Stock projection'!J53</f>
        <v>8122.9617532021921</v>
      </c>
      <c r="K99" s="104">
        <f>'Stock projection'!K53</f>
        <v>7554.354430478038</v>
      </c>
      <c r="L99" s="104">
        <f>'Stock projection'!L53</f>
        <v>7025.5496203445746</v>
      </c>
      <c r="M99" s="140">
        <f t="shared" si="99"/>
        <v>114517.69790113631</v>
      </c>
      <c r="N99" s="12" t="s">
        <v>363</v>
      </c>
    </row>
    <row r="100" spans="1:14" x14ac:dyDescent="0.2">
      <c r="A100" s="211" t="s">
        <v>225</v>
      </c>
      <c r="B100" s="229">
        <v>2020</v>
      </c>
      <c r="C100" s="229">
        <v>2021</v>
      </c>
      <c r="D100" s="229">
        <v>2022</v>
      </c>
      <c r="E100" s="229">
        <v>2023</v>
      </c>
      <c r="F100" s="229">
        <v>2024</v>
      </c>
      <c r="G100" s="229">
        <v>2025</v>
      </c>
      <c r="H100" s="229">
        <v>2026</v>
      </c>
      <c r="I100" s="229">
        <v>2027</v>
      </c>
      <c r="J100" s="229">
        <v>2028</v>
      </c>
      <c r="K100" s="229">
        <v>2029</v>
      </c>
      <c r="L100" s="229">
        <v>2030</v>
      </c>
      <c r="M100" s="140"/>
      <c r="N100" s="12" t="s">
        <v>363</v>
      </c>
    </row>
    <row r="101" spans="1:14" x14ac:dyDescent="0.2">
      <c r="A101" s="210" t="s">
        <v>209</v>
      </c>
      <c r="B101" s="212">
        <f>'Stock projection'!B57</f>
        <v>113.53614815824544</v>
      </c>
      <c r="C101" s="230">
        <f>'Stock projection'!C57</f>
        <v>248.72609601287181</v>
      </c>
      <c r="D101" s="230">
        <f>'Stock projection'!D57</f>
        <v>455.86033558027407</v>
      </c>
      <c r="E101" s="230">
        <f>'Stock projection'!E57</f>
        <v>595.45118087092305</v>
      </c>
      <c r="F101" s="230">
        <f>'Stock projection'!F57</f>
        <v>728.98478793571644</v>
      </c>
      <c r="G101" s="230">
        <f>'Stock projection'!G57</f>
        <v>1003.4915510548541</v>
      </c>
      <c r="H101" s="230">
        <f>'Stock projection'!H57</f>
        <v>1264.1655998266349</v>
      </c>
      <c r="I101" s="230">
        <f>'Stock projection'!I57</f>
        <v>1458.2482869158091</v>
      </c>
      <c r="J101" s="230">
        <f>'Stock projection'!J57</f>
        <v>1565.4087038857367</v>
      </c>
      <c r="K101" s="230">
        <f>'Stock projection'!K57</f>
        <v>1796.6308208247187</v>
      </c>
      <c r="L101" s="230">
        <f>'Stock projection'!L57</f>
        <v>1726.4197749367331</v>
      </c>
      <c r="M101" s="140">
        <f t="shared" si="99"/>
        <v>10956.923286002519</v>
      </c>
      <c r="N101" s="12" t="s">
        <v>363</v>
      </c>
    </row>
    <row r="102" spans="1:14" x14ac:dyDescent="0.2">
      <c r="A102" s="210" t="s">
        <v>210</v>
      </c>
      <c r="B102" s="212">
        <f>'Stock projection'!B58</f>
        <v>261.28071598317717</v>
      </c>
      <c r="C102" s="230">
        <f>'Stock projection'!C58</f>
        <v>1138.0314022013622</v>
      </c>
      <c r="D102" s="230">
        <f>'Stock projection'!D58</f>
        <v>2137.9057921754784</v>
      </c>
      <c r="E102" s="230">
        <f>'Stock projection'!E58</f>
        <v>3227.3596777346147</v>
      </c>
      <c r="F102" s="230">
        <f>'Stock projection'!F58</f>
        <v>4041.9452603948339</v>
      </c>
      <c r="G102" s="230">
        <f>'Stock projection'!G58</f>
        <v>5062.1322441184875</v>
      </c>
      <c r="H102" s="230">
        <f>'Stock projection'!H58</f>
        <v>6240.7548221818979</v>
      </c>
      <c r="I102" s="230">
        <f>'Stock projection'!I58</f>
        <v>7257.6412436362843</v>
      </c>
      <c r="J102" s="230">
        <f>'Stock projection'!J58</f>
        <v>7865.8874078625704</v>
      </c>
      <c r="K102" s="230">
        <f>'Stock projection'!K58</f>
        <v>9112.3945853865498</v>
      </c>
      <c r="L102" s="230">
        <f>'Stock projection'!L58</f>
        <v>9253.2672800579221</v>
      </c>
      <c r="M102" s="140">
        <f t="shared" si="99"/>
        <v>55598.600431733183</v>
      </c>
      <c r="N102" s="12" t="s">
        <v>363</v>
      </c>
    </row>
    <row r="103" spans="1:14" x14ac:dyDescent="0.2">
      <c r="A103" s="210" t="s">
        <v>211</v>
      </c>
      <c r="B103" s="212">
        <f>(B101+B102)</f>
        <v>374.81686414142263</v>
      </c>
      <c r="C103" s="212">
        <f t="shared" ref="C103:M103" si="100">(C101+C102)</f>
        <v>1386.7574982142339</v>
      </c>
      <c r="D103" s="212">
        <f t="shared" si="100"/>
        <v>2593.7661277557527</v>
      </c>
      <c r="E103" s="212">
        <f t="shared" si="100"/>
        <v>3822.8108586055378</v>
      </c>
      <c r="F103" s="212">
        <f t="shared" si="100"/>
        <v>4770.9300483305506</v>
      </c>
      <c r="G103" s="212">
        <f t="shared" si="100"/>
        <v>6065.6237951733419</v>
      </c>
      <c r="H103" s="212">
        <f t="shared" si="100"/>
        <v>7504.920422008533</v>
      </c>
      <c r="I103" s="212">
        <f t="shared" si="100"/>
        <v>8715.8895305520928</v>
      </c>
      <c r="J103" s="212">
        <f t="shared" si="100"/>
        <v>9431.2961117483064</v>
      </c>
      <c r="K103" s="212">
        <f t="shared" si="100"/>
        <v>10909.025406211269</v>
      </c>
      <c r="L103" s="212">
        <f t="shared" si="100"/>
        <v>10979.687054994654</v>
      </c>
      <c r="M103" s="212">
        <f t="shared" si="100"/>
        <v>66555.523717735705</v>
      </c>
      <c r="N103" s="12" t="s">
        <v>363</v>
      </c>
    </row>
    <row r="104" spans="1:14" ht="14.25" customHeight="1" x14ac:dyDescent="0.2">
      <c r="A104" s="221" t="s">
        <v>226</v>
      </c>
      <c r="B104" s="227">
        <f t="shared" ref="B104:L104" si="101">B103*jobmultiplier</f>
        <v>2773.6447946465278</v>
      </c>
      <c r="C104" s="227">
        <f t="shared" si="101"/>
        <v>10262.005486785332</v>
      </c>
      <c r="D104" s="227">
        <f t="shared" si="101"/>
        <v>19193.86934539257</v>
      </c>
      <c r="E104" s="227">
        <f t="shared" si="101"/>
        <v>28288.800353680981</v>
      </c>
      <c r="F104" s="227">
        <f t="shared" si="101"/>
        <v>35304.882357646078</v>
      </c>
      <c r="G104" s="227">
        <f t="shared" si="101"/>
        <v>44885.61608428273</v>
      </c>
      <c r="H104" s="227">
        <f t="shared" si="101"/>
        <v>55536.411122863145</v>
      </c>
      <c r="I104" s="227">
        <f t="shared" si="101"/>
        <v>64497.582526085491</v>
      </c>
      <c r="J104" s="227">
        <f t="shared" si="101"/>
        <v>69791.591226937468</v>
      </c>
      <c r="K104" s="227">
        <f t="shared" si="101"/>
        <v>80726.78800596339</v>
      </c>
      <c r="L104" s="227">
        <f t="shared" si="101"/>
        <v>81249.684206960446</v>
      </c>
      <c r="M104" s="228">
        <f>SUM(B104:L104)</f>
        <v>492510.87551124411</v>
      </c>
      <c r="N104" s="12" t="s">
        <v>363</v>
      </c>
    </row>
    <row r="105" spans="1:14" ht="18" x14ac:dyDescent="0.25">
      <c r="A105" s="337" t="s">
        <v>398</v>
      </c>
      <c r="B105" s="338">
        <v>2020</v>
      </c>
      <c r="C105" s="338">
        <v>2021</v>
      </c>
      <c r="D105" s="338">
        <v>2022</v>
      </c>
      <c r="E105" s="338">
        <v>2023</v>
      </c>
      <c r="F105" s="338">
        <v>2024</v>
      </c>
      <c r="G105" s="338">
        <v>2025</v>
      </c>
      <c r="H105" s="338">
        <v>2026</v>
      </c>
      <c r="I105" s="338">
        <v>2027</v>
      </c>
      <c r="J105" s="338">
        <v>2028</v>
      </c>
      <c r="K105" s="338">
        <v>2029</v>
      </c>
      <c r="L105" s="338">
        <v>2030</v>
      </c>
      <c r="M105" s="339"/>
      <c r="N105" s="12" t="s">
        <v>363</v>
      </c>
    </row>
    <row r="106" spans="1:14" ht="18" x14ac:dyDescent="0.25">
      <c r="A106" s="338" t="s">
        <v>298</v>
      </c>
      <c r="B106" s="340">
        <f t="shared" ref="B106:M106" si="102">B114-(B84*gasmjpl/1000-B114/1000000+B85*diesmjpl/1000)</f>
        <v>-1.2063840012879155</v>
      </c>
      <c r="C106" s="340">
        <f t="shared" si="102"/>
        <v>8.4665071877268474</v>
      </c>
      <c r="D106" s="340">
        <f t="shared" si="102"/>
        <v>26.186942691969762</v>
      </c>
      <c r="E106" s="340">
        <f t="shared" si="102"/>
        <v>53.090057967089479</v>
      </c>
      <c r="F106" s="340">
        <f t="shared" si="102"/>
        <v>88.550554383365125</v>
      </c>
      <c r="G106" s="340">
        <f t="shared" si="102"/>
        <v>137.32201157647387</v>
      </c>
      <c r="H106" s="340">
        <f t="shared" si="102"/>
        <v>200.93897270665479</v>
      </c>
      <c r="I106" s="340">
        <f t="shared" si="102"/>
        <v>276.90283658701094</v>
      </c>
      <c r="J106" s="340">
        <f t="shared" si="102"/>
        <v>360.48573483716132</v>
      </c>
      <c r="K106" s="340">
        <f t="shared" si="102"/>
        <v>461.96946803742333</v>
      </c>
      <c r="L106" s="340">
        <f t="shared" si="102"/>
        <v>562.26593497633246</v>
      </c>
      <c r="M106" s="340">
        <f t="shared" si="102"/>
        <v>2174.972636949924</v>
      </c>
      <c r="N106" s="12" t="s">
        <v>363</v>
      </c>
    </row>
    <row r="107" spans="1:14" ht="18" x14ac:dyDescent="0.25">
      <c r="A107" s="338" t="s">
        <v>442</v>
      </c>
      <c r="B107" s="342">
        <f>B86/1000-B115</f>
        <v>0</v>
      </c>
      <c r="C107" s="342">
        <f t="shared" ref="C107:M107" si="103">C86/1000-C115</f>
        <v>0.58834781513071643</v>
      </c>
      <c r="D107" s="342">
        <f t="shared" si="103"/>
        <v>1.8250781524477335</v>
      </c>
      <c r="E107" s="342">
        <f t="shared" si="103"/>
        <v>3.6746042053977748</v>
      </c>
      <c r="F107" s="342">
        <f t="shared" si="103"/>
        <v>6.0664551164542386</v>
      </c>
      <c r="G107" s="342">
        <f t="shared" si="103"/>
        <v>9.4025337924409484</v>
      </c>
      <c r="H107" s="342">
        <f t="shared" si="103"/>
        <v>13.800553151709073</v>
      </c>
      <c r="I107" s="342">
        <f t="shared" si="103"/>
        <v>19.123101105880949</v>
      </c>
      <c r="J107" s="342">
        <f t="shared" si="103"/>
        <v>25.035324825191193</v>
      </c>
      <c r="K107" s="342">
        <f t="shared" si="103"/>
        <v>32.29734201120209</v>
      </c>
      <c r="L107" s="342">
        <f t="shared" si="103"/>
        <v>39.521030563188532</v>
      </c>
      <c r="M107" s="342">
        <f t="shared" si="103"/>
        <v>151.33437073904324</v>
      </c>
      <c r="N107" s="12" t="s">
        <v>363</v>
      </c>
    </row>
    <row r="108" spans="1:14" ht="18" x14ac:dyDescent="0.25">
      <c r="A108" s="338" t="s">
        <v>440</v>
      </c>
      <c r="B108" s="340">
        <f>B116-B96</f>
        <v>0</v>
      </c>
      <c r="C108" s="340">
        <f t="shared" ref="C108:M108" si="104">C116-C96</f>
        <v>177.6277857601599</v>
      </c>
      <c r="D108" s="340">
        <f t="shared" si="104"/>
        <v>548.81862565669144</v>
      </c>
      <c r="E108" s="340">
        <f t="shared" si="104"/>
        <v>1114.1264513806891</v>
      </c>
      <c r="F108" s="340">
        <f t="shared" si="104"/>
        <v>1861.9373807921511</v>
      </c>
      <c r="G108" s="340">
        <f t="shared" si="104"/>
        <v>2886.1635609755613</v>
      </c>
      <c r="H108" s="340">
        <f t="shared" si="104"/>
        <v>4217.7661783599833</v>
      </c>
      <c r="I108" s="340">
        <f t="shared" si="104"/>
        <v>5801.356326140547</v>
      </c>
      <c r="J108" s="340">
        <f t="shared" si="104"/>
        <v>7538.0584636580461</v>
      </c>
      <c r="K108" s="340">
        <f t="shared" si="104"/>
        <v>9639.0614024871211</v>
      </c>
      <c r="L108" s="340">
        <f t="shared" si="104"/>
        <v>11709.522053339631</v>
      </c>
      <c r="M108" s="340">
        <f t="shared" si="104"/>
        <v>45494.438228550658</v>
      </c>
      <c r="N108" s="12" t="s">
        <v>363</v>
      </c>
    </row>
    <row r="109" spans="1:14" ht="18" x14ac:dyDescent="0.25">
      <c r="A109" s="338" t="s">
        <v>299</v>
      </c>
      <c r="B109" s="342">
        <f>B117-B91/1000</f>
        <v>0</v>
      </c>
      <c r="C109" s="342">
        <f t="shared" ref="C109:L109" si="105">C91/1000-C117</f>
        <v>-0.49910205389818429</v>
      </c>
      <c r="D109" s="342">
        <f t="shared" si="105"/>
        <v>-1.5430116102053404</v>
      </c>
      <c r="E109" s="342">
        <f t="shared" si="105"/>
        <v>-3.1322941988422315</v>
      </c>
      <c r="F109" s="342">
        <f t="shared" si="105"/>
        <v>-5.2344657961115786</v>
      </c>
      <c r="G109" s="342">
        <f t="shared" si="105"/>
        <v>-8.1191258638134656</v>
      </c>
      <c r="H109" s="342">
        <f t="shared" si="105"/>
        <v>-11.875252888608173</v>
      </c>
      <c r="I109" s="342">
        <f t="shared" si="105"/>
        <v>-16.351530166252772</v>
      </c>
      <c r="J109" s="342">
        <f t="shared" si="105"/>
        <v>-21.268262552422243</v>
      </c>
      <c r="K109" s="342">
        <f t="shared" si="105"/>
        <v>-27.226120893456141</v>
      </c>
      <c r="L109" s="342">
        <f t="shared" si="105"/>
        <v>-33.108616570957651</v>
      </c>
      <c r="M109" s="341">
        <f t="shared" ref="M109:M110" si="106">SUM(B109:L109)</f>
        <v>-128.35778259456777</v>
      </c>
      <c r="N109" s="12" t="s">
        <v>363</v>
      </c>
    </row>
    <row r="110" spans="1:14" ht="18" x14ac:dyDescent="0.25">
      <c r="A110" s="338" t="s">
        <v>297</v>
      </c>
      <c r="B110" s="343">
        <f>B103-B118</f>
        <v>81.771187039179551</v>
      </c>
      <c r="C110" s="343">
        <f t="shared" ref="C110:L110" si="107">C103-C118</f>
        <v>1112.2578510733322</v>
      </c>
      <c r="D110" s="343">
        <f t="shared" si="107"/>
        <v>2335.928609196304</v>
      </c>
      <c r="E110" s="343">
        <f t="shared" si="107"/>
        <v>3580.6240774226471</v>
      </c>
      <c r="F110" s="343">
        <f t="shared" si="107"/>
        <v>4543.4440047654616</v>
      </c>
      <c r="G110" s="343">
        <f t="shared" si="107"/>
        <v>5851.9461544526539</v>
      </c>
      <c r="H110" s="343">
        <f t="shared" si="107"/>
        <v>7304.2130140795907</v>
      </c>
      <c r="I110" s="343">
        <f t="shared" si="107"/>
        <v>8527.365062284438</v>
      </c>
      <c r="J110" s="343">
        <f t="shared" si="107"/>
        <v>9254.2150787044975</v>
      </c>
      <c r="K110" s="343">
        <f t="shared" si="107"/>
        <v>10742.693191873219</v>
      </c>
      <c r="L110" s="343">
        <f t="shared" si="107"/>
        <v>10823.451206066924</v>
      </c>
      <c r="M110" s="341">
        <f t="shared" si="106"/>
        <v>64157.909436958245</v>
      </c>
      <c r="N110" s="12" t="s">
        <v>363</v>
      </c>
    </row>
    <row r="111" spans="1:14" ht="18" x14ac:dyDescent="0.25">
      <c r="A111" s="338" t="s">
        <v>300</v>
      </c>
      <c r="B111" s="343">
        <f>B104-B119</f>
        <v>605.10678408992908</v>
      </c>
      <c r="C111" s="343">
        <f t="shared" ref="C111:M111" si="108">C104-C119</f>
        <v>8230.7080979426592</v>
      </c>
      <c r="D111" s="343">
        <f t="shared" si="108"/>
        <v>17285.871708052648</v>
      </c>
      <c r="E111" s="343">
        <f t="shared" si="108"/>
        <v>26496.618172927592</v>
      </c>
      <c r="F111" s="343">
        <f t="shared" si="108"/>
        <v>33621.48563526442</v>
      </c>
      <c r="G111" s="343">
        <f t="shared" si="108"/>
        <v>43304.401542949636</v>
      </c>
      <c r="H111" s="343">
        <f t="shared" si="108"/>
        <v>54051.176304188972</v>
      </c>
      <c r="I111" s="343">
        <f t="shared" si="108"/>
        <v>63102.501460904838</v>
      </c>
      <c r="J111" s="343">
        <f t="shared" si="108"/>
        <v>68481.191582413288</v>
      </c>
      <c r="K111" s="343">
        <f t="shared" si="108"/>
        <v>79495.929619861825</v>
      </c>
      <c r="L111" s="343">
        <f t="shared" si="108"/>
        <v>80093.538924895242</v>
      </c>
      <c r="M111" s="343">
        <f t="shared" si="108"/>
        <v>474768.52983349102</v>
      </c>
      <c r="N111" s="12" t="s">
        <v>363</v>
      </c>
    </row>
    <row r="112" spans="1:14" ht="5.25" customHeight="1" x14ac:dyDescent="0.2">
      <c r="N112" s="12" t="s">
        <v>363</v>
      </c>
    </row>
    <row r="113" spans="1:14" x14ac:dyDescent="0.2">
      <c r="A113" s="210" t="s">
        <v>404</v>
      </c>
      <c r="B113" s="225">
        <v>2020</v>
      </c>
      <c r="C113" s="225">
        <v>2021</v>
      </c>
      <c r="D113" s="225">
        <v>2022</v>
      </c>
      <c r="E113" s="225">
        <v>2023</v>
      </c>
      <c r="F113" s="225">
        <v>2024</v>
      </c>
      <c r="G113" s="225">
        <v>2025</v>
      </c>
      <c r="H113" s="225">
        <v>2026</v>
      </c>
      <c r="I113" s="225">
        <v>2027</v>
      </c>
      <c r="J113" s="225">
        <v>2028</v>
      </c>
      <c r="K113" s="225">
        <v>2029</v>
      </c>
      <c r="L113" s="225">
        <v>2030</v>
      </c>
      <c r="M113" s="225"/>
      <c r="N113" s="12" t="s">
        <v>363</v>
      </c>
    </row>
    <row r="114" spans="1:14" x14ac:dyDescent="0.2">
      <c r="A114" s="210" t="s">
        <v>293</v>
      </c>
      <c r="B114" s="226">
        <v>1233.6532528862363</v>
      </c>
      <c r="C114" s="226">
        <v>1239.1652266823892</v>
      </c>
      <c r="D114" s="226">
        <v>1248.5273891281331</v>
      </c>
      <c r="E114" s="226">
        <v>1258.1657355707478</v>
      </c>
      <c r="F114" s="226">
        <v>1268.064372397331</v>
      </c>
      <c r="G114" s="226">
        <v>1278.2090653028793</v>
      </c>
      <c r="H114" s="226">
        <v>1288.5870782773477</v>
      </c>
      <c r="I114" s="226">
        <v>1299.1870283112114</v>
      </c>
      <c r="J114" s="226">
        <v>1309.9987542876961</v>
      </c>
      <c r="K114" s="226">
        <v>1321.013198678987</v>
      </c>
      <c r="L114" s="226">
        <v>1332.2223007983521</v>
      </c>
      <c r="M114" s="226">
        <v>14076.793402321311</v>
      </c>
      <c r="N114" s="12" t="s">
        <v>363</v>
      </c>
    </row>
    <row r="115" spans="1:14" x14ac:dyDescent="0.2">
      <c r="A115" s="210" t="s">
        <v>294</v>
      </c>
      <c r="B115" s="226">
        <v>2.3722999307843335</v>
      </c>
      <c r="C115" s="226">
        <v>2.4926305280855732</v>
      </c>
      <c r="D115" s="226">
        <v>2.6134716501425284</v>
      </c>
      <c r="E115" s="226">
        <v>2.7265531037281958</v>
      </c>
      <c r="F115" s="226">
        <v>2.832669886814263</v>
      </c>
      <c r="G115" s="226">
        <v>2.9325407443077696</v>
      </c>
      <c r="H115" s="226">
        <v>3.0268155626033306</v>
      </c>
      <c r="I115" s="226">
        <v>3.1160820467158747</v>
      </c>
      <c r="J115" s="226">
        <v>3.2008717497449761</v>
      </c>
      <c r="K115" s="226">
        <v>3.2816655176276424</v>
      </c>
      <c r="L115" s="226">
        <v>3.3588984060052143</v>
      </c>
      <c r="M115" s="226">
        <v>31.9544991265597</v>
      </c>
      <c r="N115" s="12" t="s">
        <v>363</v>
      </c>
    </row>
    <row r="116" spans="1:14" x14ac:dyDescent="0.2">
      <c r="A116" s="210" t="s">
        <v>295</v>
      </c>
      <c r="B116" s="226">
        <v>36510.458301716979</v>
      </c>
      <c r="C116" s="226">
        <v>36651.036794589905</v>
      </c>
      <c r="D116" s="226">
        <v>36940.031104412716</v>
      </c>
      <c r="E116" s="226">
        <v>37236.209380828383</v>
      </c>
      <c r="F116" s="226">
        <v>37539.199491007334</v>
      </c>
      <c r="G116" s="226">
        <v>37848.668954304943</v>
      </c>
      <c r="H116" s="226">
        <v>38164.321093922183</v>
      </c>
      <c r="I116" s="226">
        <v>38485.891564785205</v>
      </c>
      <c r="J116" s="226">
        <v>38813.14522096017</v>
      </c>
      <c r="K116" s="226">
        <v>39145.873289490402</v>
      </c>
      <c r="L116" s="226">
        <v>39483.890820767534</v>
      </c>
      <c r="M116" s="226">
        <v>416818.72601678583</v>
      </c>
      <c r="N116" s="12" t="s">
        <v>363</v>
      </c>
    </row>
    <row r="117" spans="1:14" x14ac:dyDescent="0.2">
      <c r="A117" s="210" t="s">
        <v>296</v>
      </c>
      <c r="B117" s="226">
        <v>83.886864247647708</v>
      </c>
      <c r="C117" s="226">
        <v>84.193580888629526</v>
      </c>
      <c r="D117" s="226">
        <v>84.842639390381493</v>
      </c>
      <c r="E117" s="226">
        <v>85.509410745004828</v>
      </c>
      <c r="F117" s="226">
        <v>86.19291972444779</v>
      </c>
      <c r="G117" s="226">
        <v>86.892293776396968</v>
      </c>
      <c r="H117" s="226">
        <v>87.606753059799843</v>
      </c>
      <c r="I117" s="226">
        <v>88.335381785132583</v>
      </c>
      <c r="J117" s="226">
        <v>89.07796055365705</v>
      </c>
      <c r="K117" s="226">
        <v>89.83375434517248</v>
      </c>
      <c r="L117" s="226">
        <v>90.602272694565244</v>
      </c>
      <c r="M117" s="226">
        <v>956.97383121083544</v>
      </c>
      <c r="N117" s="12" t="s">
        <v>363</v>
      </c>
    </row>
    <row r="118" spans="1:14" x14ac:dyDescent="0.2">
      <c r="A118" s="210" t="s">
        <v>297</v>
      </c>
      <c r="B118" s="226">
        <v>293.04567710224308</v>
      </c>
      <c r="C118" s="226">
        <v>274.49964714090174</v>
      </c>
      <c r="D118" s="226">
        <v>257.83751855944888</v>
      </c>
      <c r="E118" s="226">
        <v>242.1867811828904</v>
      </c>
      <c r="F118" s="226">
        <v>227.48604356508903</v>
      </c>
      <c r="G118" s="226">
        <v>213.67764072068803</v>
      </c>
      <c r="H118" s="226">
        <v>200.70740792894219</v>
      </c>
      <c r="I118" s="226">
        <v>188.52446826765549</v>
      </c>
      <c r="J118" s="226">
        <v>177.08103304380884</v>
      </c>
      <c r="K118" s="226">
        <v>166.3322143380496</v>
      </c>
      <c r="L118" s="226">
        <v>156.23584892772979</v>
      </c>
      <c r="M118" s="226">
        <v>2397.6142807774472</v>
      </c>
      <c r="N118" s="12" t="s">
        <v>363</v>
      </c>
    </row>
    <row r="119" spans="1:14" x14ac:dyDescent="0.2">
      <c r="A119" s="210" t="s">
        <v>300</v>
      </c>
      <c r="B119" s="226">
        <v>2168.5380105565987</v>
      </c>
      <c r="C119" s="226">
        <v>2031.2973888426729</v>
      </c>
      <c r="D119" s="226">
        <v>1907.9976373399218</v>
      </c>
      <c r="E119" s="226">
        <v>1792.182180753389</v>
      </c>
      <c r="F119" s="226">
        <v>1683.3967223816589</v>
      </c>
      <c r="G119" s="226">
        <v>1581.2145413330916</v>
      </c>
      <c r="H119" s="226">
        <v>1485.2348186741722</v>
      </c>
      <c r="I119" s="226">
        <v>1395.0810651806507</v>
      </c>
      <c r="J119" s="226">
        <v>1310.3996445241855</v>
      </c>
      <c r="K119" s="226">
        <v>1230.858386101567</v>
      </c>
      <c r="L119" s="226">
        <v>1156.1452820652005</v>
      </c>
      <c r="M119" s="226">
        <v>17742.34567775311</v>
      </c>
      <c r="N119" s="12" t="s">
        <v>363</v>
      </c>
    </row>
    <row r="120" spans="1:14" ht="27.75" x14ac:dyDescent="0.4">
      <c r="A120" s="515" t="s">
        <v>252</v>
      </c>
      <c r="B120" s="516"/>
      <c r="C120" s="516"/>
      <c r="D120" s="516"/>
      <c r="E120" s="516"/>
      <c r="F120" s="516"/>
      <c r="G120" s="516"/>
      <c r="H120" s="516"/>
      <c r="I120" s="516"/>
      <c r="J120" s="516"/>
      <c r="K120" s="516"/>
      <c r="L120" s="517"/>
      <c r="N120" s="12" t="s">
        <v>405</v>
      </c>
    </row>
    <row r="121" spans="1:14" ht="15" x14ac:dyDescent="0.25">
      <c r="A121" s="214" t="s">
        <v>290</v>
      </c>
      <c r="B121" s="221">
        <v>2020</v>
      </c>
      <c r="C121" s="221">
        <v>2021</v>
      </c>
      <c r="D121" s="221">
        <v>2022</v>
      </c>
      <c r="E121" s="221">
        <v>2023</v>
      </c>
      <c r="F121" s="221">
        <v>2024</v>
      </c>
      <c r="G121" s="221">
        <v>2025</v>
      </c>
      <c r="H121" s="221">
        <v>2026</v>
      </c>
      <c r="I121" s="221">
        <v>2027</v>
      </c>
      <c r="J121" s="221">
        <v>2028</v>
      </c>
      <c r="K121" s="221">
        <v>2029</v>
      </c>
      <c r="L121" s="221">
        <v>2030</v>
      </c>
      <c r="N121" s="50" t="s">
        <v>405</v>
      </c>
    </row>
    <row r="122" spans="1:14" x14ac:dyDescent="0.2">
      <c r="A122" s="314" t="s">
        <v>285</v>
      </c>
      <c r="B122" s="256">
        <f>('Stock projection'!B65-'Stock projection'!B85)*('The Low Carbon Scenario'!$B$66*'The Low Carbon Scenario'!$B$67/100)*gasmjpl/1000000</f>
        <v>247.65774322375162</v>
      </c>
      <c r="C122" s="256">
        <f>('Stock projection'!C65-'Stock projection'!C85)*('The Low Carbon Scenario'!$B$66*'The Low Carbon Scenario'!$B$67/100)*gasmjpl/1000000</f>
        <v>258.65374702288619</v>
      </c>
      <c r="D122" s="256">
        <f>('Stock projection'!D65-'Stock projection'!D85)*('The Low Carbon Scenario'!$B$66*'The Low Carbon Scenario'!$B$67/100)*gasmjpl/1000000</f>
        <v>268.24146983095324</v>
      </c>
      <c r="E122" s="256">
        <f>('Stock projection'!E65-'Stock projection'!E85)*('The Low Carbon Scenario'!$B$66*'The Low Carbon Scenario'!$B$67/100)*gasmjpl/1000000</f>
        <v>278.32775422503977</v>
      </c>
      <c r="F122" s="256">
        <f>('Stock projection'!F65-'Stock projection'!F85)*('The Low Carbon Scenario'!$B$66*'The Low Carbon Scenario'!$B$67/100)*gasmjpl/1000000</f>
        <v>286.74717048947753</v>
      </c>
      <c r="G122" s="256">
        <f>('Stock projection'!G65-'Stock projection'!G85)*('The Low Carbon Scenario'!$B$66*'The Low Carbon Scenario'!$B$67/100)*gasmjpl/1000000</f>
        <v>290.99378565189659</v>
      </c>
      <c r="H122" s="256">
        <f>('Stock projection'!H65-'Stock projection'!H85)*('The Low Carbon Scenario'!$B$66*'The Low Carbon Scenario'!$B$67/100)*gasmjpl/1000000</f>
        <v>288.18568104278154</v>
      </c>
      <c r="I122" s="256">
        <f>('Stock projection'!I65-'Stock projection'!I85)*('The Low Carbon Scenario'!$B$66*'The Low Carbon Scenario'!$B$67/100)*gasmjpl/1000000</f>
        <v>280.12897363699312</v>
      </c>
      <c r="J122" s="256">
        <f>('Stock projection'!J65-'Stock projection'!J85)*('The Low Carbon Scenario'!$B$66*'The Low Carbon Scenario'!$B$67/100)*gasmjpl/1000000</f>
        <v>266.28540185854047</v>
      </c>
      <c r="K122" s="256">
        <f>('Stock projection'!K65-'Stock projection'!K85)*('The Low Carbon Scenario'!$B$66*'The Low Carbon Scenario'!$B$67/100)*gasmjpl/1000000</f>
        <v>246.07491714949174</v>
      </c>
      <c r="L122" s="256">
        <f>('Stock projection'!L65-'Stock projection'!L85)*('The Low Carbon Scenario'!$B$66*'The Low Carbon Scenario'!$B$67/100)*gasmjpl/1000000</f>
        <v>218.87279358315379</v>
      </c>
      <c r="N122" s="50" t="s">
        <v>405</v>
      </c>
    </row>
    <row r="123" spans="1:14" x14ac:dyDescent="0.2">
      <c r="A123" s="314" t="s">
        <v>286</v>
      </c>
      <c r="B123" s="256">
        <f>('Stock projection'!B66-'Stock projection'!B86)*'The Low Carbon Scenario'!$C$66*'The Low Carbon Scenario'!$C$67/100*diesmjpl/1000000</f>
        <v>344.46584746696755</v>
      </c>
      <c r="C123" s="256">
        <f>('Stock projection'!C66-'Stock projection'!C86)*'The Low Carbon Scenario'!$C$66*'The Low Carbon Scenario'!$C$67/100*diesmjpl/1000000</f>
        <v>358.53038801904387</v>
      </c>
      <c r="D123" s="256">
        <f>('Stock projection'!D66-'Stock projection'!D86)*'The Low Carbon Scenario'!$C$66*'The Low Carbon Scenario'!$C$67/100*diesmjpl/1000000</f>
        <v>372.3457350877456</v>
      </c>
      <c r="E123" s="256">
        <f>('Stock projection'!E66-'Stock projection'!E86)*'The Low Carbon Scenario'!$C$66*'The Low Carbon Scenario'!$C$67/100*diesmjpl/1000000</f>
        <v>385.86614657093543</v>
      </c>
      <c r="F123" s="256">
        <f>('Stock projection'!F66-'Stock projection'!F86)*'The Low Carbon Scenario'!$C$66*'The Low Carbon Scenario'!$C$67/100*diesmjpl/1000000</f>
        <v>397.67457101337413</v>
      </c>
      <c r="G123" s="256">
        <f>('Stock projection'!G66-'Stock projection'!G86)*'The Low Carbon Scenario'!$C$66*'The Low Carbon Scenario'!$C$67/100*diesmjpl/1000000</f>
        <v>407.60335149778228</v>
      </c>
      <c r="H123" s="256">
        <f>('Stock projection'!H66-'Stock projection'!H86)*'The Low Carbon Scenario'!$C$66*'The Low Carbon Scenario'!$C$67/100*diesmjpl/1000000</f>
        <v>412.99839497940218</v>
      </c>
      <c r="I123" s="256">
        <f>('Stock projection'!I66-'Stock projection'!I86)*'The Low Carbon Scenario'!$C$66*'The Low Carbon Scenario'!$C$67/100*diesmjpl/1000000</f>
        <v>413.46135318122487</v>
      </c>
      <c r="J123" s="256">
        <f>('Stock projection'!J66-'Stock projection'!J86)*'The Low Carbon Scenario'!$C$66*'The Low Carbon Scenario'!$C$67/100*diesmjpl/1000000</f>
        <v>405.88074331080708</v>
      </c>
      <c r="K123" s="256">
        <f>('Stock projection'!K66-'Stock projection'!K86)*'The Low Carbon Scenario'!$C$66*'The Low Carbon Scenario'!$C$67/100*diesmjpl/1000000</f>
        <v>389.58008899181237</v>
      </c>
      <c r="L123" s="256">
        <f>('Stock projection'!L66-'Stock projection'!L86)*'The Low Carbon Scenario'!$C$66*'The Low Carbon Scenario'!$C$67/100*diesmjpl/1000000</f>
        <v>366.75845485472092</v>
      </c>
      <c r="N123" s="50" t="s">
        <v>405</v>
      </c>
    </row>
    <row r="124" spans="1:14" x14ac:dyDescent="0.2">
      <c r="A124" s="314" t="s">
        <v>287</v>
      </c>
      <c r="B124" s="256">
        <f>('Stock projection'!B67-'Stock projection'!B87)*'The Low Carbon Scenario'!$D$66*'The Low Carbon Scenario'!$D$67/100*diesmjpl/1000000</f>
        <v>488.69091136564765</v>
      </c>
      <c r="C124" s="256">
        <f>('Stock projection'!C67-'Stock projection'!C87)*'The Low Carbon Scenario'!$D$66*'The Low Carbon Scenario'!$D$67/100*diesmjpl/1000000</f>
        <v>498.00047322716341</v>
      </c>
      <c r="D124" s="256">
        <f>('Stock projection'!D67-'Stock projection'!D87)*'The Low Carbon Scenario'!$D$66*'The Low Carbon Scenario'!$D$67/100*diesmjpl/1000000</f>
        <v>506.5491433396827</v>
      </c>
      <c r="E124" s="256">
        <f>('Stock projection'!E67-'Stock projection'!E87)*'The Low Carbon Scenario'!$D$66*'The Low Carbon Scenario'!$D$67/100*diesmjpl/1000000</f>
        <v>514.30276220850124</v>
      </c>
      <c r="F124" s="256">
        <f>('Stock projection'!F67-'Stock projection'!F87)*'The Low Carbon Scenario'!$D$66*'The Low Carbon Scenario'!$D$67/100*diesmjpl/1000000</f>
        <v>519.74809060752079</v>
      </c>
      <c r="G124" s="256">
        <f>('Stock projection'!G67-'Stock projection'!G87)*'The Low Carbon Scenario'!$D$66*'The Low Carbon Scenario'!$D$67/100*diesmjpl/1000000</f>
        <v>522.78969547040151</v>
      </c>
      <c r="H124" s="256">
        <f>('Stock projection'!H67-'Stock projection'!H87)*'The Low Carbon Scenario'!$D$66*'The Low Carbon Scenario'!$D$67/100*diesmjpl/1000000</f>
        <v>520.76636701813732</v>
      </c>
      <c r="I124" s="256">
        <f>('Stock projection'!I67-'Stock projection'!I87)*'The Low Carbon Scenario'!$D$66*'The Low Carbon Scenario'!$D$67/100*diesmjpl/1000000</f>
        <v>513.47429127617715</v>
      </c>
      <c r="J124" s="256">
        <f>('Stock projection'!J67-'Stock projection'!J87)*'The Low Carbon Scenario'!$D$66*'The Low Carbon Scenario'!$D$67/100*diesmjpl/1000000</f>
        <v>498.03710451678205</v>
      </c>
      <c r="K124" s="256">
        <f>('Stock projection'!K67-'Stock projection'!K87)*'The Low Carbon Scenario'!$D$66*'The Low Carbon Scenario'!$D$67/100*diesmjpl/1000000</f>
        <v>474.13191912955159</v>
      </c>
      <c r="L124" s="256">
        <f>('Stock projection'!L67-'Stock projection'!L87)*'The Low Carbon Scenario'!$D$66*'The Low Carbon Scenario'!$D$67/100*diesmjpl/1000000</f>
        <v>444.20033670757613</v>
      </c>
      <c r="N124" s="50" t="s">
        <v>405</v>
      </c>
    </row>
    <row r="125" spans="1:14" x14ac:dyDescent="0.2">
      <c r="A125" s="221" t="s">
        <v>55</v>
      </c>
      <c r="B125" s="227">
        <f>SUM(B122:B124)</f>
        <v>1080.8145020563668</v>
      </c>
      <c r="C125" s="227">
        <f t="shared" ref="C125:L125" si="109">SUM(C122:C124)</f>
        <v>1115.1846082690936</v>
      </c>
      <c r="D125" s="227">
        <f t="shared" si="109"/>
        <v>1147.1363482583815</v>
      </c>
      <c r="E125" s="227">
        <f t="shared" si="109"/>
        <v>1178.4966630044764</v>
      </c>
      <c r="F125" s="227">
        <f t="shared" si="109"/>
        <v>1204.1698321103725</v>
      </c>
      <c r="G125" s="227">
        <f t="shared" si="109"/>
        <v>1221.3868326200804</v>
      </c>
      <c r="H125" s="227">
        <f t="shared" si="109"/>
        <v>1221.950443040321</v>
      </c>
      <c r="I125" s="227">
        <f t="shared" si="109"/>
        <v>1207.0646180943952</v>
      </c>
      <c r="J125" s="227">
        <f t="shared" si="109"/>
        <v>1170.2032496861298</v>
      </c>
      <c r="K125" s="227">
        <f t="shared" si="109"/>
        <v>1109.7869252708556</v>
      </c>
      <c r="L125" s="227">
        <f t="shared" si="109"/>
        <v>1029.8315851454508</v>
      </c>
      <c r="N125" s="50" t="s">
        <v>405</v>
      </c>
    </row>
    <row r="126" spans="1:14" ht="15" x14ac:dyDescent="0.25">
      <c r="A126" s="213" t="s">
        <v>288</v>
      </c>
      <c r="B126" s="259">
        <v>2020</v>
      </c>
      <c r="C126" s="259">
        <v>2021</v>
      </c>
      <c r="D126" s="259">
        <v>2022</v>
      </c>
      <c r="E126" s="259">
        <v>2023</v>
      </c>
      <c r="F126" s="259">
        <v>2024</v>
      </c>
      <c r="G126" s="259">
        <v>2025</v>
      </c>
      <c r="H126" s="259">
        <v>2026</v>
      </c>
      <c r="I126" s="259">
        <v>2027</v>
      </c>
      <c r="J126" s="259">
        <v>2028</v>
      </c>
      <c r="K126" s="259">
        <v>2029</v>
      </c>
      <c r="L126" s="259">
        <v>2030</v>
      </c>
      <c r="N126" s="50" t="s">
        <v>405</v>
      </c>
    </row>
    <row r="127" spans="1:14" x14ac:dyDescent="0.2">
      <c r="A127" s="173" t="s">
        <v>249</v>
      </c>
      <c r="B127" s="209">
        <f>'Stock projection'!B85*'The Low Carbon Scenario'!$B$68*'The Low Carbon Scenario'!$B$66/100/1000000</f>
        <v>0</v>
      </c>
      <c r="C127" s="209">
        <f>'Stock projection'!C85*'The Low Carbon Scenario'!$B$68*'The Low Carbon Scenario'!$B$66/100/1000000</f>
        <v>0.20130468967919932</v>
      </c>
      <c r="D127" s="209">
        <f>'Stock projection'!D85*'The Low Carbon Scenario'!$B$68*'The Low Carbon Scenario'!$B$66/100/1000000</f>
        <v>0.62484975676423449</v>
      </c>
      <c r="E127" s="209">
        <f>'Stock projection'!E85*'The Low Carbon Scenario'!$B$68*'The Low Carbon Scenario'!$B$66/100/1000000</f>
        <v>1.0704191673376915</v>
      </c>
      <c r="F127" s="209">
        <f>'Stock projection'!F85*'The Low Carbon Scenario'!$B$68*'The Low Carbon Scenario'!$B$66/100/1000000</f>
        <v>1.7735276972226068</v>
      </c>
      <c r="G127" s="209">
        <f>'Stock projection'!G85*'The Low Carbon Scenario'!$B$68*'The Low Carbon Scenario'!$B$66/100/1000000</f>
        <v>3.0063113196208242</v>
      </c>
      <c r="H127" s="209">
        <f>'Stock projection'!H85*'The Low Carbon Scenario'!$B$68*'The Low Carbon Scenario'!$B$66/100/1000000</f>
        <v>5.0813327128415056</v>
      </c>
      <c r="I127" s="209">
        <f>'Stock projection'!I85*'The Low Carbon Scenario'!$B$68*'The Low Carbon Scenario'!$B$66/100/1000000</f>
        <v>7.8099858449266986</v>
      </c>
      <c r="J127" s="209">
        <f>'Stock projection'!J85*'The Low Carbon Scenario'!$B$68*'The Low Carbon Scenario'!$B$66/100/1000000</f>
        <v>11.254637558871053</v>
      </c>
      <c r="K127" s="209">
        <f>'Stock projection'!K85*'The Low Carbon Scenario'!$B$68*'The Low Carbon Scenario'!$B$66/100/1000000</f>
        <v>15.482373429118752</v>
      </c>
      <c r="L127" s="209">
        <f>'Stock projection'!L85*'The Low Carbon Scenario'!$B$68*'The Low Carbon Scenario'!$B$66/100/1000000</f>
        <v>20.565319869690839</v>
      </c>
      <c r="N127" s="50" t="s">
        <v>405</v>
      </c>
    </row>
    <row r="128" spans="1:14" x14ac:dyDescent="0.2">
      <c r="A128" s="173" t="s">
        <v>250</v>
      </c>
      <c r="B128" s="209">
        <f>'Stock projection'!B86*'The Low Carbon Scenario'!$C$68*'The Low Carbon Scenario'!$B$66/100/1000000</f>
        <v>0</v>
      </c>
      <c r="C128" s="209">
        <f>'Stock projection'!C86*'The Low Carbon Scenario'!$C$68*'The Low Carbon Scenario'!$B$66/100/1000000</f>
        <v>3.1194077288981447E-2</v>
      </c>
      <c r="D128" s="209">
        <f>'Stock projection'!D86*'The Low Carbon Scenario'!$C$68*'The Low Carbon Scenario'!$B$66/100/1000000</f>
        <v>0.12870676289433741</v>
      </c>
      <c r="E128" s="209">
        <f>'Stock projection'!E86*'The Low Carbon Scenario'!$C$68*'The Low Carbon Scenario'!$B$66/100/1000000</f>
        <v>0.2980537935623056</v>
      </c>
      <c r="F128" s="209">
        <f>'Stock projection'!F86*'The Low Carbon Scenario'!$C$68*'The Low Carbon Scenario'!$B$66/100/1000000</f>
        <v>0.65097300547435133</v>
      </c>
      <c r="G128" s="209">
        <f>'Stock projection'!G86*'The Low Carbon Scenario'!$C$68*'The Low Carbon Scenario'!$B$66/100/1000000</f>
        <v>1.2025857336928789</v>
      </c>
      <c r="H128" s="209">
        <f>'Stock projection'!H86*'The Low Carbon Scenario'!$C$68*'The Low Carbon Scenario'!$B$66/100/1000000</f>
        <v>2.1605531716990565</v>
      </c>
      <c r="I128" s="209">
        <f>'Stock projection'!I86*'The Low Carbon Scenario'!$C$68*'The Low Carbon Scenario'!$B$66/100/1000000</f>
        <v>3.5580360702624674</v>
      </c>
      <c r="J128" s="209">
        <f>'Stock projection'!J86*'The Low Carbon Scenario'!$C$68*'The Low Carbon Scenario'!$B$66/100/1000000</f>
        <v>5.6382891849811454</v>
      </c>
      <c r="K128" s="209">
        <f>'Stock projection'!K86*'The Low Carbon Scenario'!$C$68*'The Low Carbon Scenario'!$B$66/100/1000000</f>
        <v>8.4562000541790656</v>
      </c>
      <c r="L128" s="209">
        <f>'Stock projection'!L86*'The Low Carbon Scenario'!$C$68*'The Low Carbon Scenario'!$B$66/100/1000000</f>
        <v>11.844195968453183</v>
      </c>
      <c r="N128" s="50" t="s">
        <v>405</v>
      </c>
    </row>
    <row r="129" spans="1:14" x14ac:dyDescent="0.2">
      <c r="A129" s="173" t="s">
        <v>251</v>
      </c>
      <c r="B129" s="209">
        <f>'Stock projection'!B87*'The Low Carbon Scenario'!$D$68*'The Low Carbon Scenario'!$B$66/100/1000000</f>
        <v>0</v>
      </c>
      <c r="C129" s="209">
        <f>'Stock projection'!C87*'The Low Carbon Scenario'!$D$68*'The Low Carbon Scenario'!$B$66/100/1000000</f>
        <v>1.0436245156735205E-2</v>
      </c>
      <c r="D129" s="209">
        <f>'Stock projection'!D87*'The Low Carbon Scenario'!$D$68*'The Low Carbon Scenario'!$B$66/100/1000000</f>
        <v>4.2371155336344953E-2</v>
      </c>
      <c r="E129" s="209">
        <f>'Stock projection'!E87*'The Low Carbon Scenario'!$D$68*'The Low Carbon Scenario'!$B$66/100/1000000</f>
        <v>9.6660502641681537E-2</v>
      </c>
      <c r="F129" s="209">
        <f>'Stock projection'!F87*'The Low Carbon Scenario'!$D$68*'The Low Carbon Scenario'!$B$66/100/1000000</f>
        <v>0.2074107711445681</v>
      </c>
      <c r="G129" s="209">
        <f>'Stock projection'!G87*'The Low Carbon Scenario'!$D$68*'The Low Carbon Scenario'!$B$66/100/1000000</f>
        <v>0.37685868195398436</v>
      </c>
      <c r="H129" s="209">
        <f>'Stock projection'!H87*'The Low Carbon Scenario'!$D$68*'The Low Carbon Scenario'!$B$66/100/1000000</f>
        <v>0.66492013032999231</v>
      </c>
      <c r="I129" s="209">
        <f>'Stock projection'!I87*'The Low Carbon Scenario'!$D$68*'The Low Carbon Scenario'!$B$66/100/1000000</f>
        <v>1.0762718786109311</v>
      </c>
      <c r="J129" s="209">
        <f>'Stock projection'!J87*'The Low Carbon Scenario'!$D$68*'The Low Carbon Scenario'!$B$66/100/1000000</f>
        <v>1.6756701403917285</v>
      </c>
      <c r="K129" s="209">
        <f>'Stock projection'!K87*'The Low Carbon Scenario'!$D$68*'The Low Carbon Scenario'!$B$66/100/1000000</f>
        <v>2.4704722355130655</v>
      </c>
      <c r="L129" s="209">
        <f>'Stock projection'!L87*'The Low Carbon Scenario'!$D$68*'The Low Carbon Scenario'!$B$66/100/1000000</f>
        <v>3.4058931628481774</v>
      </c>
      <c r="N129" s="50" t="s">
        <v>405</v>
      </c>
    </row>
    <row r="130" spans="1:14" x14ac:dyDescent="0.2">
      <c r="A130" s="208" t="s">
        <v>55</v>
      </c>
      <c r="B130" s="344">
        <f t="shared" ref="B130:L130" si="110">SUM(B127:B129)</f>
        <v>0</v>
      </c>
      <c r="C130" s="344">
        <f t="shared" si="110"/>
        <v>0.24293501212491597</v>
      </c>
      <c r="D130" s="344">
        <f t="shared" si="110"/>
        <v>0.79592767499491679</v>
      </c>
      <c r="E130" s="344">
        <f t="shared" si="110"/>
        <v>1.4651334635416786</v>
      </c>
      <c r="F130" s="344">
        <f t="shared" si="110"/>
        <v>2.6319114738415261</v>
      </c>
      <c r="G130" s="344">
        <f t="shared" si="110"/>
        <v>4.5857557352676874</v>
      </c>
      <c r="H130" s="344">
        <f t="shared" si="110"/>
        <v>7.9068060148705541</v>
      </c>
      <c r="I130" s="344">
        <f t="shared" si="110"/>
        <v>12.444293793800098</v>
      </c>
      <c r="J130" s="344">
        <f t="shared" si="110"/>
        <v>18.568596884243927</v>
      </c>
      <c r="K130" s="344">
        <f t="shared" si="110"/>
        <v>26.40904571881088</v>
      </c>
      <c r="L130" s="344">
        <f t="shared" si="110"/>
        <v>35.815409000992204</v>
      </c>
      <c r="N130" s="50" t="s">
        <v>405</v>
      </c>
    </row>
    <row r="131" spans="1:14" ht="15" x14ac:dyDescent="0.25">
      <c r="A131" s="214" t="s">
        <v>289</v>
      </c>
      <c r="B131" s="263">
        <v>2020</v>
      </c>
      <c r="C131" s="263">
        <v>2021</v>
      </c>
      <c r="D131" s="263">
        <v>2022</v>
      </c>
      <c r="E131" s="263">
        <v>2023</v>
      </c>
      <c r="F131" s="263">
        <v>2024</v>
      </c>
      <c r="G131" s="263">
        <v>2025</v>
      </c>
      <c r="H131" s="263">
        <v>2026</v>
      </c>
      <c r="I131" s="263">
        <v>2027</v>
      </c>
      <c r="J131" s="263">
        <v>2028</v>
      </c>
      <c r="K131" s="263">
        <v>2029</v>
      </c>
      <c r="L131" s="263">
        <v>2030</v>
      </c>
      <c r="N131" s="50" t="s">
        <v>405</v>
      </c>
    </row>
    <row r="132" spans="1:14" x14ac:dyDescent="0.2">
      <c r="A132" s="215" t="s">
        <v>249</v>
      </c>
      <c r="B132" s="216">
        <f>B122*B203</f>
        <v>7284.0512712868122</v>
      </c>
      <c r="C132" s="216">
        <f>(C122*'The Low Carbon Scenario'!$C$81/gasl2j*1000)+(C127*'The Low Carbon Scenario'!$C$80*1000)</f>
        <v>7631.6197104934508</v>
      </c>
      <c r="D132" s="216">
        <f>(D122*'The Low Carbon Scenario'!$C$81/gasl2j*1000)+(D127*'The Low Carbon Scenario'!$C$80*1000)</f>
        <v>7964.4369658397454</v>
      </c>
      <c r="E132" s="216">
        <f>(E122*'The Low Carbon Scenario'!$C$81/gasl2j*1000)+(E127*'The Low Carbon Scenario'!$C$80*1000)</f>
        <v>8314.5607184640448</v>
      </c>
      <c r="F132" s="216">
        <f>(F122*'The Low Carbon Scenario'!$C$81/gasl2j*1000)+(F127*'The Low Carbon Scenario'!$C$80*1000)</f>
        <v>8646.5636321807578</v>
      </c>
      <c r="G132" s="216">
        <f>(G122*'The Low Carbon Scenario'!$C$81/gasl2j*1000)+(G127*'The Low Carbon Scenario'!$C$80*1000)</f>
        <v>8919.3981128220439</v>
      </c>
      <c r="H132" s="216">
        <f>(H122*'The Low Carbon Scenario'!$C$81/gasl2j*1000)+(H127*'The Low Carbon Scenario'!$C$80*1000)</f>
        <v>9085.809367975733</v>
      </c>
      <c r="I132" s="216">
        <f>(I122*'The Low Carbon Scenario'!$C$81/gasl2j*1000)+(I127*'The Low Carbon Scenario'!$C$80*1000)</f>
        <v>9176.2857613027663</v>
      </c>
      <c r="J132" s="216">
        <f>(J122*'The Low Carbon Scenario'!$C$81/gasl2j*1000)+(J127*'The Low Carbon Scenario'!$C$80*1000)</f>
        <v>9182.4800911392449</v>
      </c>
      <c r="K132" s="216">
        <f>(K122*'The Low Carbon Scenario'!$C$81/gasl2j*1000)+(K127*'The Low Carbon Scenario'!$C$80*1000)</f>
        <v>9095.3823747145943</v>
      </c>
      <c r="L132" s="216">
        <f>(L122*'The Low Carbon Scenario'!$C$81/gasl2j*1000)+(L127*'The Low Carbon Scenario'!$C$80*1000)</f>
        <v>8905.2734897497758</v>
      </c>
      <c r="N132" s="50" t="s">
        <v>405</v>
      </c>
    </row>
    <row r="133" spans="1:14" x14ac:dyDescent="0.2">
      <c r="A133" s="215" t="s">
        <v>250</v>
      </c>
      <c r="B133" s="216">
        <f>B123*B204</f>
        <v>8947.1648692718863</v>
      </c>
      <c r="C133" s="216">
        <f t="shared" ref="C133:L133" si="111">C123*C204</f>
        <v>9312.477610884258</v>
      </c>
      <c r="D133" s="216">
        <f t="shared" si="111"/>
        <v>9671.3177944869003</v>
      </c>
      <c r="E133" s="216">
        <f t="shared" si="111"/>
        <v>10022.497313530792</v>
      </c>
      <c r="F133" s="216">
        <f t="shared" si="111"/>
        <v>10329.209636711017</v>
      </c>
      <c r="G133" s="216">
        <f t="shared" si="111"/>
        <v>10587.100038903438</v>
      </c>
      <c r="H133" s="216">
        <f t="shared" si="111"/>
        <v>10727.231038426033</v>
      </c>
      <c r="I133" s="216">
        <f t="shared" si="111"/>
        <v>10739.255926785063</v>
      </c>
      <c r="J133" s="216">
        <f t="shared" si="111"/>
        <v>10542.356969111874</v>
      </c>
      <c r="K133" s="216">
        <f t="shared" si="111"/>
        <v>10118.963350436687</v>
      </c>
      <c r="L133" s="216">
        <f t="shared" si="111"/>
        <v>9526.1936325901552</v>
      </c>
      <c r="N133" s="50" t="s">
        <v>405</v>
      </c>
    </row>
    <row r="134" spans="1:14" x14ac:dyDescent="0.2">
      <c r="A134" s="215" t="s">
        <v>251</v>
      </c>
      <c r="B134" s="216">
        <f t="shared" ref="B134:L134" si="112">B124*B204</f>
        <v>12693.270425081759</v>
      </c>
      <c r="C134" s="216">
        <f t="shared" si="112"/>
        <v>12935.07722667957</v>
      </c>
      <c r="D134" s="216">
        <f t="shared" si="112"/>
        <v>13157.120606225526</v>
      </c>
      <c r="E134" s="216">
        <f t="shared" si="112"/>
        <v>13358.513304116917</v>
      </c>
      <c r="F134" s="216">
        <f t="shared" si="112"/>
        <v>13499.950405390153</v>
      </c>
      <c r="G134" s="216">
        <f t="shared" si="112"/>
        <v>13578.953129101339</v>
      </c>
      <c r="H134" s="216">
        <f t="shared" si="112"/>
        <v>13526.399143328244</v>
      </c>
      <c r="I134" s="216">
        <f t="shared" si="112"/>
        <v>13336.994578602005</v>
      </c>
      <c r="J134" s="216">
        <f t="shared" si="112"/>
        <v>12936.028688747587</v>
      </c>
      <c r="K134" s="216">
        <f t="shared" si="112"/>
        <v>12315.114782585757</v>
      </c>
      <c r="L134" s="216">
        <f t="shared" si="112"/>
        <v>11537.671083313668</v>
      </c>
      <c r="N134" s="50" t="s">
        <v>405</v>
      </c>
    </row>
    <row r="135" spans="1:14" x14ac:dyDescent="0.2">
      <c r="A135" s="221" t="s">
        <v>55</v>
      </c>
      <c r="B135" s="345">
        <f>SUM(B132:B134)</f>
        <v>28924.486565640458</v>
      </c>
      <c r="C135" s="345">
        <f t="shared" ref="C135:L135" si="113">SUM(C132:C134)</f>
        <v>29879.174548057279</v>
      </c>
      <c r="D135" s="345">
        <f t="shared" si="113"/>
        <v>30792.875366552173</v>
      </c>
      <c r="E135" s="345">
        <f t="shared" si="113"/>
        <v>31695.571336111752</v>
      </c>
      <c r="F135" s="345">
        <f t="shared" si="113"/>
        <v>32475.72367428193</v>
      </c>
      <c r="G135" s="345">
        <f t="shared" si="113"/>
        <v>33085.451280826819</v>
      </c>
      <c r="H135" s="345">
        <f t="shared" si="113"/>
        <v>33339.439549730007</v>
      </c>
      <c r="I135" s="345">
        <f t="shared" si="113"/>
        <v>33252.536266689836</v>
      </c>
      <c r="J135" s="345">
        <f t="shared" si="113"/>
        <v>32660.865748998709</v>
      </c>
      <c r="K135" s="345">
        <f t="shared" si="113"/>
        <v>31529.460507737036</v>
      </c>
      <c r="L135" s="345">
        <f t="shared" si="113"/>
        <v>29969.138205653599</v>
      </c>
      <c r="N135" s="50" t="s">
        <v>405</v>
      </c>
    </row>
    <row r="136" spans="1:14" ht="15" x14ac:dyDescent="0.25">
      <c r="A136" s="217" t="s">
        <v>291</v>
      </c>
      <c r="B136" s="262">
        <v>2020</v>
      </c>
      <c r="C136" s="262">
        <v>2021</v>
      </c>
      <c r="D136" s="262">
        <v>2022</v>
      </c>
      <c r="E136" s="262">
        <v>2023</v>
      </c>
      <c r="F136" s="262">
        <v>2024</v>
      </c>
      <c r="G136" s="262">
        <v>2025</v>
      </c>
      <c r="H136" s="262">
        <v>2026</v>
      </c>
      <c r="I136" s="262">
        <v>2027</v>
      </c>
      <c r="J136" s="262">
        <v>2028</v>
      </c>
      <c r="K136" s="262">
        <v>2029</v>
      </c>
      <c r="L136" s="262">
        <v>2030</v>
      </c>
      <c r="N136" s="50" t="s">
        <v>405</v>
      </c>
    </row>
    <row r="137" spans="1:14" x14ac:dyDescent="0.2">
      <c r="A137" s="135" t="s">
        <v>249</v>
      </c>
      <c r="B137" s="137">
        <f t="shared" ref="B137:L137" si="114">(B122*gaspj/1000)+(B127*B207/1000)</f>
        <v>16.753317923959667</v>
      </c>
      <c r="C137" s="137">
        <f t="shared" si="114"/>
        <v>17.522511382190277</v>
      </c>
      <c r="D137" s="137">
        <f t="shared" si="114"/>
        <v>18.224427206284599</v>
      </c>
      <c r="E137" s="137">
        <f t="shared" si="114"/>
        <v>18.96285129991282</v>
      </c>
      <c r="F137" s="137">
        <f t="shared" si="114"/>
        <v>19.620960005077951</v>
      </c>
      <c r="G137" s="137">
        <f t="shared" si="114"/>
        <v>20.063517534307362</v>
      </c>
      <c r="H137" s="137">
        <f t="shared" si="114"/>
        <v>20.134956874742024</v>
      </c>
      <c r="I137" s="137">
        <f t="shared" si="114"/>
        <v>19.933723323020594</v>
      </c>
      <c r="J137" s="137">
        <f t="shared" si="114"/>
        <v>19.431281791141444</v>
      </c>
      <c r="K137" s="137">
        <f t="shared" si="114"/>
        <v>18.596867453780582</v>
      </c>
      <c r="L137" s="137">
        <f t="shared" si="114"/>
        <v>17.397331045970859</v>
      </c>
      <c r="M137" s="137">
        <f>SUM(B137:L137)</f>
        <v>206.64174584038818</v>
      </c>
      <c r="N137" s="50" t="s">
        <v>405</v>
      </c>
    </row>
    <row r="138" spans="1:14" x14ac:dyDescent="0.2">
      <c r="A138" s="135" t="s">
        <v>250</v>
      </c>
      <c r="B138" s="137">
        <f t="shared" ref="B138:L138" si="115">B123*diespj/1000+B128*B207/1000</f>
        <v>23.978401849648645</v>
      </c>
      <c r="C138" s="137">
        <f t="shared" si="115"/>
        <v>24.961367623130606</v>
      </c>
      <c r="D138" s="137">
        <f t="shared" si="115"/>
        <v>25.935338369903455</v>
      </c>
      <c r="E138" s="137">
        <f t="shared" si="115"/>
        <v>26.897826561866264</v>
      </c>
      <c r="F138" s="137">
        <f t="shared" si="115"/>
        <v>27.764265079407807</v>
      </c>
      <c r="G138" s="137">
        <f t="shared" si="115"/>
        <v>28.524893332727494</v>
      </c>
      <c r="H138" s="137">
        <f t="shared" si="115"/>
        <v>29.021121817864319</v>
      </c>
      <c r="I138" s="137">
        <f t="shared" si="115"/>
        <v>29.229410889541381</v>
      </c>
      <c r="J138" s="137">
        <f t="shared" si="115"/>
        <v>28.963827501146078</v>
      </c>
      <c r="K138" s="137">
        <f t="shared" si="115"/>
        <v>28.184217784984281</v>
      </c>
      <c r="L138" s="137">
        <f t="shared" si="115"/>
        <v>27.022567627366712</v>
      </c>
      <c r="M138" s="137">
        <f t="shared" ref="M138:M140" si="116">SUM(B138:L138)</f>
        <v>300.48323843758703</v>
      </c>
      <c r="N138" s="50" t="s">
        <v>405</v>
      </c>
    </row>
    <row r="139" spans="1:14" x14ac:dyDescent="0.2">
      <c r="A139" s="135" t="s">
        <v>251</v>
      </c>
      <c r="B139" s="137">
        <f t="shared" ref="B139:L139" si="117">B124*diespj/1000+B129*B207/1000</f>
        <v>34.017964739219103</v>
      </c>
      <c r="C139" s="137">
        <f t="shared" si="117"/>
        <v>34.66732098833382</v>
      </c>
      <c r="D139" s="137">
        <f t="shared" si="117"/>
        <v>35.266418575905078</v>
      </c>
      <c r="E139" s="137">
        <f t="shared" si="117"/>
        <v>35.812988062635633</v>
      </c>
      <c r="F139" s="137">
        <f t="shared" si="117"/>
        <v>36.205988307429102</v>
      </c>
      <c r="G139" s="137">
        <f t="shared" si="117"/>
        <v>36.439059597628827</v>
      </c>
      <c r="H139" s="137">
        <f t="shared" si="117"/>
        <v>36.334502845965368</v>
      </c>
      <c r="I139" s="137">
        <f t="shared" si="117"/>
        <v>35.878723197810523</v>
      </c>
      <c r="J139" s="137">
        <f t="shared" si="117"/>
        <v>34.879657558228473</v>
      </c>
      <c r="K139" s="137">
        <f t="shared" si="117"/>
        <v>33.315762227595243</v>
      </c>
      <c r="L139" s="137">
        <f t="shared" si="117"/>
        <v>31.350101041799491</v>
      </c>
      <c r="M139" s="137">
        <f t="shared" si="116"/>
        <v>384.1684871425507</v>
      </c>
      <c r="N139" s="50" t="s">
        <v>405</v>
      </c>
    </row>
    <row r="140" spans="1:14" x14ac:dyDescent="0.2">
      <c r="A140" s="233" t="s">
        <v>55</v>
      </c>
      <c r="B140" s="346">
        <f>SUM(B137:B139)</f>
        <v>74.749684512827415</v>
      </c>
      <c r="C140" s="346">
        <f t="shared" ref="C140:L140" si="118">SUM(C137:C139)</f>
        <v>77.1511999936547</v>
      </c>
      <c r="D140" s="346">
        <f t="shared" si="118"/>
        <v>79.426184152093128</v>
      </c>
      <c r="E140" s="346">
        <f t="shared" si="118"/>
        <v>81.673665924414706</v>
      </c>
      <c r="F140" s="346">
        <f t="shared" si="118"/>
        <v>83.591213391914863</v>
      </c>
      <c r="G140" s="346">
        <f t="shared" si="118"/>
        <v>85.027470464663679</v>
      </c>
      <c r="H140" s="346">
        <f t="shared" si="118"/>
        <v>85.490581538571718</v>
      </c>
      <c r="I140" s="346">
        <f t="shared" si="118"/>
        <v>85.041857410372501</v>
      </c>
      <c r="J140" s="346">
        <f t="shared" si="118"/>
        <v>83.274766850515988</v>
      </c>
      <c r="K140" s="346">
        <f t="shared" si="118"/>
        <v>80.096847466360103</v>
      </c>
      <c r="L140" s="346">
        <f t="shared" si="118"/>
        <v>75.769999715137061</v>
      </c>
      <c r="M140" s="137">
        <f t="shared" si="116"/>
        <v>891.29347142052586</v>
      </c>
      <c r="N140" s="50" t="s">
        <v>405</v>
      </c>
    </row>
    <row r="141" spans="1:14" ht="15" x14ac:dyDescent="0.25">
      <c r="A141" s="218" t="s">
        <v>292</v>
      </c>
      <c r="B141" s="264">
        <v>2020</v>
      </c>
      <c r="C141" s="264">
        <v>2021</v>
      </c>
      <c r="D141" s="264">
        <v>2022</v>
      </c>
      <c r="E141" s="264">
        <v>2023</v>
      </c>
      <c r="F141" s="264">
        <v>2024</v>
      </c>
      <c r="G141" s="264">
        <v>2025</v>
      </c>
      <c r="H141" s="264">
        <v>2026</v>
      </c>
      <c r="I141" s="264">
        <v>2027</v>
      </c>
      <c r="J141" s="264">
        <v>2028</v>
      </c>
      <c r="K141" s="264">
        <v>2029</v>
      </c>
      <c r="L141" s="264">
        <v>2030</v>
      </c>
      <c r="N141" s="50" t="s">
        <v>405</v>
      </c>
    </row>
    <row r="142" spans="1:14" x14ac:dyDescent="0.2">
      <c r="A142" s="73" t="s">
        <v>249</v>
      </c>
      <c r="B142" s="219">
        <f>'Stock projection'!B102</f>
        <v>0</v>
      </c>
      <c r="C142" s="219">
        <f>'Stock projection'!C102</f>
        <v>64.337436332130466</v>
      </c>
      <c r="D142" s="219">
        <f>'Stock projection'!D102</f>
        <v>121.82936943852221</v>
      </c>
      <c r="E142" s="219">
        <f>'Stock projection'!E102</f>
        <v>115.34804698439279</v>
      </c>
      <c r="F142" s="219">
        <f>'Stock projection'!F102</f>
        <v>163.81729632723466</v>
      </c>
      <c r="G142" s="219">
        <f>'Stock projection'!G102</f>
        <v>258.50369360437639</v>
      </c>
      <c r="H142" s="219">
        <f>'Stock projection'!H102</f>
        <v>391.60207536739762</v>
      </c>
      <c r="I142" s="219">
        <f>'Stock projection'!I102</f>
        <v>463.46105619731509</v>
      </c>
      <c r="J142" s="219">
        <f>'Stock projection'!J102</f>
        <v>526.56591360914183</v>
      </c>
      <c r="K142" s="219">
        <f>'Stock projection'!K102</f>
        <v>581.64470817265806</v>
      </c>
      <c r="L142" s="219">
        <f>'Stock projection'!L102</f>
        <v>629.37281108328273</v>
      </c>
      <c r="M142" s="309">
        <f>SUM(B142:L142)</f>
        <v>3316.4824071164512</v>
      </c>
      <c r="N142" s="50" t="s">
        <v>405</v>
      </c>
    </row>
    <row r="143" spans="1:14" x14ac:dyDescent="0.2">
      <c r="A143" s="73" t="s">
        <v>250</v>
      </c>
      <c r="B143" s="219">
        <f>'Stock projection'!B103</f>
        <v>0</v>
      </c>
      <c r="C143" s="219">
        <f>'Stock projection'!C103</f>
        <v>42.537378121338342</v>
      </c>
      <c r="D143" s="219">
        <f>'Stock projection'!D103</f>
        <v>127.65297024701142</v>
      </c>
      <c r="E143" s="219">
        <f>'Stock projection'!E103</f>
        <v>212.82303199581759</v>
      </c>
      <c r="F143" s="219">
        <f>'Stock projection'!F103</f>
        <v>425.78227073211224</v>
      </c>
      <c r="G143" s="219">
        <f>'Stock projection'!G103</f>
        <v>638.87778158811977</v>
      </c>
      <c r="H143" s="219">
        <f>'Stock projection'!H103</f>
        <v>1065.1370374637147</v>
      </c>
      <c r="I143" s="219">
        <f>'Stock projection'!I103</f>
        <v>1491.6690338419839</v>
      </c>
      <c r="J143" s="219">
        <f>'Stock projection'!J103</f>
        <v>2131.6376684754468</v>
      </c>
      <c r="K143" s="219">
        <f>'Stock projection'!K103</f>
        <v>2772.0157302881685</v>
      </c>
      <c r="L143" s="219">
        <f>'Stock projection'!L103</f>
        <v>3199.5032022944529</v>
      </c>
      <c r="M143" s="309">
        <f>SUM(B143:L143)</f>
        <v>12107.636105048166</v>
      </c>
      <c r="N143" s="50" t="s">
        <v>405</v>
      </c>
    </row>
    <row r="144" spans="1:14" x14ac:dyDescent="0.2">
      <c r="A144" s="73" t="s">
        <v>251</v>
      </c>
      <c r="B144" s="219">
        <f>'Stock projection'!B104</f>
        <v>0</v>
      </c>
      <c r="C144" s="219">
        <f>'Stock projection'!C104</f>
        <v>29.600986262739859</v>
      </c>
      <c r="D144" s="219">
        <f>'Stock projection'!D104</f>
        <v>86.955857245424653</v>
      </c>
      <c r="E144" s="219">
        <f>'Stock projection'!E104</f>
        <v>141.91195902453308</v>
      </c>
      <c r="F144" s="219">
        <f>'Stock projection'!F104</f>
        <v>277.92038055364532</v>
      </c>
      <c r="G144" s="219">
        <f>'Stock projection'!G104</f>
        <v>408.20945495719383</v>
      </c>
      <c r="H144" s="219">
        <f>'Stock projection'!H104</f>
        <v>666.1978304901412</v>
      </c>
      <c r="I144" s="219">
        <f>'Stock projection'!I104</f>
        <v>913.27728186232343</v>
      </c>
      <c r="J144" s="219">
        <f>'Stock projection'!J104</f>
        <v>1277.5444491422684</v>
      </c>
      <c r="K144" s="219">
        <f>'Stock projection'!K104</f>
        <v>1626.2629819801414</v>
      </c>
      <c r="L144" s="219">
        <f>'Stock projection'!L104</f>
        <v>1837.4269753326394</v>
      </c>
      <c r="M144" s="309">
        <f>SUM(B144:L144)</f>
        <v>7265.3081568510497</v>
      </c>
      <c r="N144" s="50" t="s">
        <v>405</v>
      </c>
    </row>
    <row r="145" spans="1:16" x14ac:dyDescent="0.2">
      <c r="A145" s="73" t="s">
        <v>55</v>
      </c>
      <c r="B145" s="219">
        <f>SUM(B142:B144)</f>
        <v>0</v>
      </c>
      <c r="C145" s="219">
        <f t="shared" ref="C145:L145" si="119">SUM(C142:C144)</f>
        <v>136.47580071620868</v>
      </c>
      <c r="D145" s="219">
        <f t="shared" si="119"/>
        <v>336.43819693095827</v>
      </c>
      <c r="E145" s="219">
        <f t="shared" si="119"/>
        <v>470.08303800474346</v>
      </c>
      <c r="F145" s="219">
        <f t="shared" si="119"/>
        <v>867.51994761299215</v>
      </c>
      <c r="G145" s="219">
        <f t="shared" si="119"/>
        <v>1305.5909301496899</v>
      </c>
      <c r="H145" s="219">
        <f t="shared" si="119"/>
        <v>2122.9369433212537</v>
      </c>
      <c r="I145" s="219">
        <f t="shared" si="119"/>
        <v>2868.4073719016224</v>
      </c>
      <c r="J145" s="219">
        <f t="shared" si="119"/>
        <v>3935.7480312268572</v>
      </c>
      <c r="K145" s="219">
        <f t="shared" si="119"/>
        <v>4979.9234204409677</v>
      </c>
      <c r="L145" s="219">
        <f t="shared" si="119"/>
        <v>5666.3029887103748</v>
      </c>
      <c r="M145" s="309">
        <f>SUM(B145:L145)</f>
        <v>22689.426669015673</v>
      </c>
      <c r="N145" s="50" t="s">
        <v>405</v>
      </c>
      <c r="P145" s="309"/>
    </row>
    <row r="146" spans="1:16" x14ac:dyDescent="0.2">
      <c r="A146" s="241" t="s">
        <v>226</v>
      </c>
      <c r="B146" s="369">
        <f t="shared" ref="B146:L146" si="120">B145*jobmultiplier</f>
        <v>0</v>
      </c>
      <c r="C146" s="369">
        <f t="shared" si="120"/>
        <v>1009.9209252999443</v>
      </c>
      <c r="D146" s="369">
        <f t="shared" si="120"/>
        <v>2489.6426572890914</v>
      </c>
      <c r="E146" s="369">
        <f t="shared" si="120"/>
        <v>3478.6144812351017</v>
      </c>
      <c r="F146" s="369">
        <f t="shared" si="120"/>
        <v>6419.6476123361426</v>
      </c>
      <c r="G146" s="369">
        <f t="shared" si="120"/>
        <v>9661.372883107706</v>
      </c>
      <c r="H146" s="369">
        <f t="shared" si="120"/>
        <v>15709.733380577278</v>
      </c>
      <c r="I146" s="369">
        <f t="shared" si="120"/>
        <v>21226.214552072008</v>
      </c>
      <c r="J146" s="369">
        <f t="shared" si="120"/>
        <v>29124.535431078744</v>
      </c>
      <c r="K146" s="369">
        <f t="shared" si="120"/>
        <v>36851.433311263165</v>
      </c>
      <c r="L146" s="369">
        <f t="shared" si="120"/>
        <v>41930.642116456773</v>
      </c>
      <c r="M146" s="369">
        <f>SUM(B146:L146)</f>
        <v>167901.75735071592</v>
      </c>
      <c r="N146" s="50" t="s">
        <v>405</v>
      </c>
    </row>
    <row r="147" spans="1:16" ht="15" x14ac:dyDescent="0.2">
      <c r="A147" s="330" t="s">
        <v>406</v>
      </c>
      <c r="B147" s="331">
        <v>2020</v>
      </c>
      <c r="C147" s="331">
        <v>2021</v>
      </c>
      <c r="D147" s="331">
        <v>2022</v>
      </c>
      <c r="E147" s="331">
        <v>2023</v>
      </c>
      <c r="F147" s="331">
        <v>2024</v>
      </c>
      <c r="G147" s="331">
        <v>2025</v>
      </c>
      <c r="H147" s="331">
        <v>2026</v>
      </c>
      <c r="I147" s="331">
        <v>2027</v>
      </c>
      <c r="J147" s="331">
        <v>2028</v>
      </c>
      <c r="K147" s="331">
        <v>2029</v>
      </c>
      <c r="L147" s="331">
        <v>2030</v>
      </c>
      <c r="M147" s="332"/>
      <c r="N147" s="50" t="s">
        <v>405</v>
      </c>
    </row>
    <row r="148" spans="1:16" ht="15" x14ac:dyDescent="0.2">
      <c r="A148" s="331" t="s">
        <v>298</v>
      </c>
      <c r="B148" s="333">
        <f>B155-B125</f>
        <v>0</v>
      </c>
      <c r="C148" s="333">
        <f t="shared" ref="C148:L148" si="121">C155-C125</f>
        <v>2.7494802558342144</v>
      </c>
      <c r="D148" s="333">
        <f t="shared" si="121"/>
        <v>9.3901073922620526</v>
      </c>
      <c r="E148" s="333">
        <f t="shared" si="121"/>
        <v>18.159193401995026</v>
      </c>
      <c r="F148" s="333">
        <f t="shared" si="121"/>
        <v>34.219672496859857</v>
      </c>
      <c r="G148" s="333">
        <f t="shared" si="121"/>
        <v>60.410883032479433</v>
      </c>
      <c r="H148" s="333">
        <f t="shared" si="121"/>
        <v>105.00361104793296</v>
      </c>
      <c r="I148" s="333">
        <f t="shared" si="121"/>
        <v>166.87087022629498</v>
      </c>
      <c r="J148" s="333">
        <f t="shared" si="121"/>
        <v>252.619303149384</v>
      </c>
      <c r="K148" s="333">
        <f t="shared" si="121"/>
        <v>363.91259301842342</v>
      </c>
      <c r="L148" s="333">
        <f t="shared" si="121"/>
        <v>496.82298471551553</v>
      </c>
      <c r="M148" s="334">
        <f>SUM(B148:L148)</f>
        <v>1510.1586987369815</v>
      </c>
      <c r="N148" s="50" t="s">
        <v>405</v>
      </c>
    </row>
    <row r="149" spans="1:16" ht="15" x14ac:dyDescent="0.2">
      <c r="A149" s="331" t="s">
        <v>442</v>
      </c>
      <c r="B149" s="335">
        <f>B156-B130</f>
        <v>0</v>
      </c>
      <c r="C149" s="335">
        <f t="shared" ref="C149:L149" si="122">C156-C130</f>
        <v>-0.24293501212491597</v>
      </c>
      <c r="D149" s="335">
        <f t="shared" si="122"/>
        <v>-0.79592767499491679</v>
      </c>
      <c r="E149" s="335">
        <f t="shared" si="122"/>
        <v>-1.4651334635416786</v>
      </c>
      <c r="F149" s="335">
        <f t="shared" si="122"/>
        <v>-2.6319114738415261</v>
      </c>
      <c r="G149" s="335">
        <f t="shared" si="122"/>
        <v>-4.5857557352676874</v>
      </c>
      <c r="H149" s="335">
        <f t="shared" si="122"/>
        <v>-7.9068060148705541</v>
      </c>
      <c r="I149" s="335">
        <f t="shared" si="122"/>
        <v>-12.444293793800098</v>
      </c>
      <c r="J149" s="335">
        <f t="shared" si="122"/>
        <v>-18.568596884243927</v>
      </c>
      <c r="K149" s="335">
        <f t="shared" si="122"/>
        <v>-26.40904571881088</v>
      </c>
      <c r="L149" s="335">
        <f t="shared" si="122"/>
        <v>-35.815409000992204</v>
      </c>
      <c r="M149" s="334">
        <f t="shared" ref="M149:M151" si="123">SUM(B149:L149)</f>
        <v>-110.86581477248838</v>
      </c>
      <c r="N149" s="50" t="s">
        <v>405</v>
      </c>
    </row>
    <row r="150" spans="1:16" ht="15" x14ac:dyDescent="0.2">
      <c r="A150" s="331" t="s">
        <v>440</v>
      </c>
      <c r="B150" s="434">
        <f>B157-B135</f>
        <v>0</v>
      </c>
      <c r="C150" s="434">
        <f t="shared" ref="C150:M150" si="124">C157-C135</f>
        <v>53.729016701152432</v>
      </c>
      <c r="D150" s="434">
        <f t="shared" si="124"/>
        <v>189.00137896122033</v>
      </c>
      <c r="E150" s="434">
        <f t="shared" si="124"/>
        <v>377.62339138896641</v>
      </c>
      <c r="F150" s="434">
        <f t="shared" si="124"/>
        <v>733.00558600010845</v>
      </c>
      <c r="G150" s="434">
        <f t="shared" si="124"/>
        <v>1304.987921918495</v>
      </c>
      <c r="H150" s="434">
        <f t="shared" si="124"/>
        <v>2280.935146668744</v>
      </c>
      <c r="I150" s="434">
        <f t="shared" si="124"/>
        <v>3648.1452754761194</v>
      </c>
      <c r="J150" s="434">
        <f t="shared" si="124"/>
        <v>5572.7400417273457</v>
      </c>
      <c r="K150" s="434">
        <f t="shared" si="124"/>
        <v>8092.0380492059558</v>
      </c>
      <c r="L150" s="434">
        <f t="shared" si="124"/>
        <v>11097.682863799648</v>
      </c>
      <c r="M150" s="434">
        <f t="shared" si="124"/>
        <v>0</v>
      </c>
      <c r="N150" s="50" t="s">
        <v>405</v>
      </c>
    </row>
    <row r="151" spans="1:16" ht="15" x14ac:dyDescent="0.2">
      <c r="A151" s="331" t="s">
        <v>299</v>
      </c>
      <c r="B151" s="335">
        <f>B158-B140</f>
        <v>0</v>
      </c>
      <c r="C151" s="335">
        <f t="shared" ref="C151:L151" si="125">C158-C140</f>
        <v>0.15710922368828051</v>
      </c>
      <c r="D151" s="335">
        <f t="shared" si="125"/>
        <v>0.54195582819022547</v>
      </c>
      <c r="E151" s="335">
        <f t="shared" si="125"/>
        <v>1.0599151833147005</v>
      </c>
      <c r="F151" s="335">
        <f t="shared" si="125"/>
        <v>2.018026064045884</v>
      </c>
      <c r="G151" s="335">
        <f t="shared" si="125"/>
        <v>3.5724635790956967</v>
      </c>
      <c r="H151" s="335">
        <f t="shared" si="125"/>
        <v>6.2201245911597596</v>
      </c>
      <c r="I151" s="335">
        <f t="shared" si="125"/>
        <v>9.9049723670710108</v>
      </c>
      <c r="J151" s="335">
        <f t="shared" si="125"/>
        <v>15.039056081779407</v>
      </c>
      <c r="K151" s="335">
        <f t="shared" si="125"/>
        <v>21.720611568880443</v>
      </c>
      <c r="L151" s="335">
        <f t="shared" si="125"/>
        <v>29.693779484567898</v>
      </c>
      <c r="M151" s="334">
        <f t="shared" si="123"/>
        <v>89.928013971793305</v>
      </c>
      <c r="N151" s="50" t="s">
        <v>405</v>
      </c>
    </row>
    <row r="152" spans="1:16" ht="15" x14ac:dyDescent="0.2">
      <c r="A152" s="331" t="s">
        <v>297</v>
      </c>
      <c r="B152" s="336">
        <f>B145-B159</f>
        <v>0</v>
      </c>
      <c r="C152" s="336">
        <f t="shared" ref="C152:M152" si="126">C145-C159</f>
        <v>136.47580071620868</v>
      </c>
      <c r="D152" s="336">
        <f t="shared" si="126"/>
        <v>336.43819693095827</v>
      </c>
      <c r="E152" s="336">
        <f t="shared" si="126"/>
        <v>470.08303800474346</v>
      </c>
      <c r="F152" s="336">
        <f t="shared" si="126"/>
        <v>867.51994761299215</v>
      </c>
      <c r="G152" s="336">
        <f t="shared" si="126"/>
        <v>1305.5909301496899</v>
      </c>
      <c r="H152" s="336">
        <f t="shared" si="126"/>
        <v>2122.9369433212537</v>
      </c>
      <c r="I152" s="336">
        <f t="shared" si="126"/>
        <v>2868.4073719016224</v>
      </c>
      <c r="J152" s="336">
        <f t="shared" si="126"/>
        <v>3935.7480312268572</v>
      </c>
      <c r="K152" s="336">
        <f t="shared" si="126"/>
        <v>4979.9234204409677</v>
      </c>
      <c r="L152" s="336">
        <f t="shared" si="126"/>
        <v>5666.3029887103748</v>
      </c>
      <c r="M152" s="336">
        <f t="shared" si="126"/>
        <v>22689.426669015673</v>
      </c>
      <c r="N152" s="50" t="s">
        <v>405</v>
      </c>
    </row>
    <row r="153" spans="1:16" ht="15" x14ac:dyDescent="0.2">
      <c r="A153" s="331" t="s">
        <v>300</v>
      </c>
      <c r="B153" s="336">
        <f>B146-B160</f>
        <v>0</v>
      </c>
      <c r="C153" s="336">
        <f t="shared" ref="C153:M153" si="127">C146-C160</f>
        <v>1009.9209252999443</v>
      </c>
      <c r="D153" s="336">
        <f t="shared" si="127"/>
        <v>2489.6426572890914</v>
      </c>
      <c r="E153" s="336">
        <f t="shared" si="127"/>
        <v>3478.6144812351017</v>
      </c>
      <c r="F153" s="336">
        <f t="shared" si="127"/>
        <v>6419.6476123361426</v>
      </c>
      <c r="G153" s="336">
        <f t="shared" si="127"/>
        <v>9661.372883107706</v>
      </c>
      <c r="H153" s="336">
        <f t="shared" si="127"/>
        <v>15709.733380577278</v>
      </c>
      <c r="I153" s="336">
        <f t="shared" si="127"/>
        <v>21226.214552072008</v>
      </c>
      <c r="J153" s="336">
        <f t="shared" si="127"/>
        <v>29124.535431078744</v>
      </c>
      <c r="K153" s="336">
        <f t="shared" si="127"/>
        <v>36851.433311263165</v>
      </c>
      <c r="L153" s="336">
        <f t="shared" si="127"/>
        <v>41930.642116456773</v>
      </c>
      <c r="M153" s="336">
        <f t="shared" si="127"/>
        <v>167901.75735071592</v>
      </c>
      <c r="N153" s="50" t="s">
        <v>405</v>
      </c>
    </row>
    <row r="154" spans="1:16" x14ac:dyDescent="0.2">
      <c r="A154" s="210" t="s">
        <v>404</v>
      </c>
      <c r="B154" s="225">
        <v>2020</v>
      </c>
      <c r="C154" s="225">
        <v>2021</v>
      </c>
      <c r="D154" s="225">
        <v>2022</v>
      </c>
      <c r="E154" s="225">
        <v>2023</v>
      </c>
      <c r="F154" s="225">
        <v>2024</v>
      </c>
      <c r="G154" s="225">
        <v>2025</v>
      </c>
      <c r="H154" s="225">
        <v>2026</v>
      </c>
      <c r="I154" s="225">
        <v>2027</v>
      </c>
      <c r="J154" s="225">
        <v>2028</v>
      </c>
      <c r="K154" s="225">
        <v>2029</v>
      </c>
      <c r="L154" s="225">
        <v>2030</v>
      </c>
      <c r="M154" s="225"/>
      <c r="N154" s="50" t="s">
        <v>405</v>
      </c>
    </row>
    <row r="155" spans="1:16" x14ac:dyDescent="0.2">
      <c r="A155" s="210" t="s">
        <v>293</v>
      </c>
      <c r="B155" s="225">
        <v>1080.8145020563668</v>
      </c>
      <c r="C155" s="225">
        <v>1117.9340885249278</v>
      </c>
      <c r="D155" s="225">
        <v>1156.5264556506436</v>
      </c>
      <c r="E155" s="225">
        <v>1196.6558564064715</v>
      </c>
      <c r="F155" s="225">
        <v>1238.3895046072323</v>
      </c>
      <c r="G155" s="225">
        <v>1281.7977156525599</v>
      </c>
      <c r="H155" s="225">
        <v>1326.954054088254</v>
      </c>
      <c r="I155" s="225">
        <v>1373.9354883206902</v>
      </c>
      <c r="J155" s="225">
        <v>1422.8225528355138</v>
      </c>
      <c r="K155" s="225">
        <v>1473.699518289279</v>
      </c>
      <c r="L155" s="225">
        <v>1526.6545698609664</v>
      </c>
      <c r="M155" s="226"/>
      <c r="N155" s="50" t="s">
        <v>405</v>
      </c>
    </row>
    <row r="156" spans="1:16" x14ac:dyDescent="0.2">
      <c r="A156" s="210" t="s">
        <v>294</v>
      </c>
      <c r="B156" s="225">
        <v>0</v>
      </c>
      <c r="C156" s="225">
        <v>0</v>
      </c>
      <c r="D156" s="225">
        <v>0</v>
      </c>
      <c r="E156" s="225">
        <v>0</v>
      </c>
      <c r="F156" s="225">
        <v>0</v>
      </c>
      <c r="G156" s="225">
        <v>0</v>
      </c>
      <c r="H156" s="225">
        <v>0</v>
      </c>
      <c r="I156" s="225">
        <v>0</v>
      </c>
      <c r="J156" s="225">
        <v>0</v>
      </c>
      <c r="K156" s="225">
        <v>0</v>
      </c>
      <c r="L156" s="225">
        <v>0</v>
      </c>
      <c r="M156" s="226"/>
      <c r="N156" s="50" t="s">
        <v>405</v>
      </c>
    </row>
    <row r="157" spans="1:16" x14ac:dyDescent="0.2">
      <c r="A157" s="210" t="s">
        <v>295</v>
      </c>
      <c r="B157" s="225">
        <v>28924.486565640458</v>
      </c>
      <c r="C157" s="225">
        <v>29932.903564758431</v>
      </c>
      <c r="D157" s="225">
        <v>30981.876745513393</v>
      </c>
      <c r="E157" s="225">
        <v>32073.194727500719</v>
      </c>
      <c r="F157" s="225">
        <v>33208.729260282038</v>
      </c>
      <c r="G157" s="225">
        <v>34390.439202745314</v>
      </c>
      <c r="H157" s="225">
        <v>35620.374696398751</v>
      </c>
      <c r="I157" s="225">
        <v>36900.681542165956</v>
      </c>
      <c r="J157" s="225">
        <v>38233.605790726055</v>
      </c>
      <c r="K157" s="225">
        <v>39621.498556942992</v>
      </c>
      <c r="L157" s="225">
        <v>41066.821069453246</v>
      </c>
      <c r="M157" s="226"/>
      <c r="N157" s="50" t="s">
        <v>405</v>
      </c>
    </row>
    <row r="158" spans="1:16" x14ac:dyDescent="0.2">
      <c r="A158" s="210" t="s">
        <v>296</v>
      </c>
      <c r="B158" s="225">
        <v>74.749684512827415</v>
      </c>
      <c r="C158" s="225">
        <v>77.30830921734298</v>
      </c>
      <c r="D158" s="225">
        <v>79.968139980283354</v>
      </c>
      <c r="E158" s="225">
        <v>82.733581107729407</v>
      </c>
      <c r="F158" s="225">
        <v>85.609239455960747</v>
      </c>
      <c r="G158" s="225">
        <v>88.599934043759376</v>
      </c>
      <c r="H158" s="225">
        <v>91.710706129731477</v>
      </c>
      <c r="I158" s="225">
        <v>94.946829777443511</v>
      </c>
      <c r="J158" s="225">
        <v>98.313822932295395</v>
      </c>
      <c r="K158" s="225">
        <v>101.81745903524055</v>
      </c>
      <c r="L158" s="225">
        <v>105.46377919970496</v>
      </c>
      <c r="M158" s="226">
        <v>981.22148539231921</v>
      </c>
      <c r="N158" s="50" t="s">
        <v>405</v>
      </c>
    </row>
    <row r="159" spans="1:16" x14ac:dyDescent="0.2">
      <c r="A159" s="210" t="s">
        <v>297</v>
      </c>
      <c r="B159" s="225">
        <v>0</v>
      </c>
      <c r="C159" s="225">
        <v>0</v>
      </c>
      <c r="D159" s="225">
        <v>0</v>
      </c>
      <c r="E159" s="225">
        <v>0</v>
      </c>
      <c r="F159" s="225">
        <v>0</v>
      </c>
      <c r="G159" s="225">
        <v>0</v>
      </c>
      <c r="H159" s="225">
        <v>0</v>
      </c>
      <c r="I159" s="225">
        <v>0</v>
      </c>
      <c r="J159" s="225">
        <v>0</v>
      </c>
      <c r="K159" s="225">
        <v>0</v>
      </c>
      <c r="L159" s="225">
        <v>0</v>
      </c>
      <c r="M159" s="226">
        <v>0</v>
      </c>
      <c r="N159" s="50" t="s">
        <v>405</v>
      </c>
    </row>
    <row r="160" spans="1:16" x14ac:dyDescent="0.2">
      <c r="A160" s="210" t="s">
        <v>300</v>
      </c>
      <c r="B160" s="225">
        <v>0</v>
      </c>
      <c r="C160" s="225">
        <v>0</v>
      </c>
      <c r="D160" s="225">
        <v>0</v>
      </c>
      <c r="E160" s="225">
        <v>0</v>
      </c>
      <c r="F160" s="225">
        <v>0</v>
      </c>
      <c r="G160" s="225">
        <v>0</v>
      </c>
      <c r="H160" s="225">
        <v>0</v>
      </c>
      <c r="I160" s="225">
        <v>0</v>
      </c>
      <c r="J160" s="225">
        <v>0</v>
      </c>
      <c r="K160" s="225">
        <v>0</v>
      </c>
      <c r="L160" s="225">
        <v>0</v>
      </c>
      <c r="M160" s="226">
        <v>0</v>
      </c>
      <c r="N160" s="50" t="s">
        <v>405</v>
      </c>
    </row>
    <row r="161" spans="1:14" ht="15.75" x14ac:dyDescent="0.25">
      <c r="A161" s="326" t="s">
        <v>364</v>
      </c>
      <c r="B161" s="222">
        <v>2020</v>
      </c>
      <c r="C161" s="222">
        <v>2021</v>
      </c>
      <c r="D161" s="222">
        <v>2022</v>
      </c>
      <c r="E161" s="222">
        <v>2023</v>
      </c>
      <c r="F161" s="222">
        <v>2024</v>
      </c>
      <c r="G161" s="222">
        <v>2025</v>
      </c>
      <c r="H161" s="222">
        <v>2026</v>
      </c>
      <c r="I161" s="222">
        <v>2027</v>
      </c>
      <c r="J161" s="222">
        <v>2028</v>
      </c>
      <c r="K161" s="222">
        <v>2029</v>
      </c>
      <c r="L161" s="222">
        <v>2030</v>
      </c>
      <c r="M161" s="228"/>
      <c r="N161" s="12" t="s">
        <v>412</v>
      </c>
    </row>
    <row r="162" spans="1:14" x14ac:dyDescent="0.2">
      <c r="A162" s="221" t="s">
        <v>365</v>
      </c>
      <c r="B162" s="381">
        <f>'The Low Carbon Scenario'!$C$42*'The Low Carbon Scenario'!G14</f>
        <v>0</v>
      </c>
      <c r="C162" s="381">
        <f>'The Low Carbon Scenario'!$C$42*'The Low Carbon Scenario'!H14</f>
        <v>250</v>
      </c>
      <c r="D162" s="381">
        <f>'The Low Carbon Scenario'!$C$42*'The Low Carbon Scenario'!I14</f>
        <v>500</v>
      </c>
      <c r="E162" s="381">
        <f>'The Low Carbon Scenario'!$C$42*'The Low Carbon Scenario'!J14</f>
        <v>1250</v>
      </c>
      <c r="F162" s="381">
        <f>'The Low Carbon Scenario'!$C$42*'The Low Carbon Scenario'!K14</f>
        <v>2500</v>
      </c>
      <c r="G162" s="381">
        <f>'The Low Carbon Scenario'!$C$42*'The Low Carbon Scenario'!L14</f>
        <v>3000</v>
      </c>
      <c r="H162" s="381">
        <f>'The Low Carbon Scenario'!$C$42*'The Low Carbon Scenario'!M14</f>
        <v>3500.0000000000005</v>
      </c>
      <c r="I162" s="381">
        <f>'The Low Carbon Scenario'!$C$42*'The Low Carbon Scenario'!N14</f>
        <v>3500.0000000000005</v>
      </c>
      <c r="J162" s="381">
        <f>'The Low Carbon Scenario'!$C$42*'The Low Carbon Scenario'!O14</f>
        <v>3500.0000000000005</v>
      </c>
      <c r="K162" s="381">
        <f>'The Low Carbon Scenario'!$C$42*'The Low Carbon Scenario'!P14</f>
        <v>3500.0000000000005</v>
      </c>
      <c r="L162" s="381">
        <f>'The Low Carbon Scenario'!$C$42*'The Low Carbon Scenario'!Q14</f>
        <v>3500.0000000000005</v>
      </c>
      <c r="M162" s="380">
        <f>SUM(B162:L162)</f>
        <v>25000</v>
      </c>
      <c r="N162" s="50" t="s">
        <v>412</v>
      </c>
    </row>
    <row r="163" spans="1:14" x14ac:dyDescent="0.2">
      <c r="A163" s="221" t="s">
        <v>381</v>
      </c>
      <c r="B163" s="379"/>
      <c r="C163" s="379">
        <f>C162</f>
        <v>250</v>
      </c>
      <c r="D163" s="379">
        <f>C163+D162</f>
        <v>750</v>
      </c>
      <c r="E163" s="379">
        <f t="shared" ref="E163:L163" si="128">D163+E162</f>
        <v>2000</v>
      </c>
      <c r="F163" s="379">
        <f t="shared" si="128"/>
        <v>4500</v>
      </c>
      <c r="G163" s="379">
        <f t="shared" si="128"/>
        <v>7500</v>
      </c>
      <c r="H163" s="379">
        <f t="shared" si="128"/>
        <v>11000</v>
      </c>
      <c r="I163" s="379">
        <f t="shared" si="128"/>
        <v>14500</v>
      </c>
      <c r="J163" s="379">
        <f t="shared" si="128"/>
        <v>18000</v>
      </c>
      <c r="K163" s="379">
        <f t="shared" si="128"/>
        <v>21500</v>
      </c>
      <c r="L163" s="379">
        <f t="shared" si="128"/>
        <v>25000</v>
      </c>
      <c r="M163" s="380"/>
      <c r="N163" s="50" t="s">
        <v>412</v>
      </c>
    </row>
    <row r="164" spans="1:14" x14ac:dyDescent="0.2">
      <c r="A164" s="314" t="s">
        <v>414</v>
      </c>
      <c r="B164" s="135">
        <v>60</v>
      </c>
      <c r="C164" s="382">
        <f t="shared" ref="C164:K164" si="129">($L164/$B164)^(1/10)*B164</f>
        <v>60</v>
      </c>
      <c r="D164" s="382">
        <f t="shared" si="129"/>
        <v>60</v>
      </c>
      <c r="E164" s="382">
        <f t="shared" si="129"/>
        <v>60</v>
      </c>
      <c r="F164" s="382">
        <f t="shared" si="129"/>
        <v>60</v>
      </c>
      <c r="G164" s="382">
        <f t="shared" si="129"/>
        <v>60</v>
      </c>
      <c r="H164" s="382">
        <f t="shared" si="129"/>
        <v>60</v>
      </c>
      <c r="I164" s="382">
        <f t="shared" si="129"/>
        <v>60</v>
      </c>
      <c r="J164" s="382">
        <f t="shared" si="129"/>
        <v>60</v>
      </c>
      <c r="K164" s="382">
        <f t="shared" si="129"/>
        <v>60</v>
      </c>
      <c r="L164" s="381">
        <f>'The Low Carbon Scenario'!C79</f>
        <v>60</v>
      </c>
      <c r="M164" s="314"/>
      <c r="N164" s="12" t="s">
        <v>412</v>
      </c>
    </row>
    <row r="165" spans="1:14" x14ac:dyDescent="0.2">
      <c r="A165" s="314" t="s">
        <v>78</v>
      </c>
      <c r="B165" s="383">
        <f>'The Low Carbon Scenario'!$C$47</f>
        <v>125</v>
      </c>
      <c r="C165" s="383">
        <f>'The Low Carbon Scenario'!$C$47</f>
        <v>125</v>
      </c>
      <c r="D165" s="383">
        <f>'The Low Carbon Scenario'!$C$47</f>
        <v>125</v>
      </c>
      <c r="E165" s="383">
        <f>'The Low Carbon Scenario'!$C$47</f>
        <v>125</v>
      </c>
      <c r="F165" s="383">
        <f>'The Low Carbon Scenario'!$C$47</f>
        <v>125</v>
      </c>
      <c r="G165" s="383">
        <f>'The Low Carbon Scenario'!$C$47</f>
        <v>125</v>
      </c>
      <c r="H165" s="383">
        <f>'The Low Carbon Scenario'!$C$47</f>
        <v>125</v>
      </c>
      <c r="I165" s="383">
        <f>'The Low Carbon Scenario'!$C$47</f>
        <v>125</v>
      </c>
      <c r="J165" s="383">
        <f>'The Low Carbon Scenario'!$C$47</f>
        <v>125</v>
      </c>
      <c r="K165" s="383">
        <f>'The Low Carbon Scenario'!$C$47</f>
        <v>125</v>
      </c>
      <c r="L165" s="383">
        <f>'The Low Carbon Scenario'!$C$47</f>
        <v>125</v>
      </c>
      <c r="M165" s="314"/>
      <c r="N165" s="12" t="s">
        <v>412</v>
      </c>
    </row>
    <row r="166" spans="1:14" x14ac:dyDescent="0.2">
      <c r="A166" s="314" t="s">
        <v>415</v>
      </c>
      <c r="B166" s="314"/>
      <c r="C166" s="384">
        <f>C163*Buses!$AD$23/100*C164*diesmjpl/1000000000</f>
        <v>0.33967788667312504</v>
      </c>
      <c r="D166" s="384">
        <f>D163*Buses!$AD$23/100*D164*diesmjpl/1000000000</f>
        <v>1.019033660019375</v>
      </c>
      <c r="E166" s="384">
        <f>E163*Buses!$AD$23/100*E164*diesmjpl/1000000000</f>
        <v>2.7174230933850003</v>
      </c>
      <c r="F166" s="384">
        <f>F163*Buses!$AD$23/100*F164*diesmjpl/1000000000</f>
        <v>6.1142019601162501</v>
      </c>
      <c r="G166" s="384">
        <f>G163*Buses!$AD$23/100*G164*diesmjpl/1000000000</f>
        <v>10.190336600193751</v>
      </c>
      <c r="H166" s="384">
        <f>H163*Buses!$AD$23/100*H164*diesmjpl/1000000000</f>
        <v>14.9458270136175</v>
      </c>
      <c r="I166" s="384">
        <f>I163*Buses!$AD$23/100*I164*diesmjpl/1000000000</f>
        <v>19.70131742704125</v>
      </c>
      <c r="J166" s="384">
        <f>J163*Buses!$AD$23/100*J164*diesmjpl/1000000000</f>
        <v>24.456807840465</v>
      </c>
      <c r="K166" s="384">
        <f>K163*Buses!$AD$23/100*K164*diesmjpl/1000000000</f>
        <v>29.212298253888751</v>
      </c>
      <c r="L166" s="384">
        <f>L163*Buses!$AD$23/100*L164*diesmjpl/1000000000</f>
        <v>33.967788667312497</v>
      </c>
      <c r="M166" s="380">
        <f t="shared" ref="M166:M171" si="130">SUM(B166:L166)</f>
        <v>142.6647124027125</v>
      </c>
      <c r="N166" s="12" t="s">
        <v>412</v>
      </c>
    </row>
    <row r="167" spans="1:14" x14ac:dyDescent="0.2">
      <c r="A167" s="314" t="s">
        <v>416</v>
      </c>
      <c r="B167" s="314"/>
      <c r="C167" s="385">
        <f>C163*Buses!$AD$23/100*C165/278/1000000</f>
        <v>6.6118122386465819E-2</v>
      </c>
      <c r="D167" s="385">
        <f>D163*Buses!$AD$23/100*D165/278/1000000</f>
        <v>0.1983543671593975</v>
      </c>
      <c r="E167" s="385">
        <f>E163*Buses!$AD$23/100*E165/278/1000000</f>
        <v>0.52894497909172655</v>
      </c>
      <c r="F167" s="385">
        <f>F163*Buses!$AD$23/100*F165/278/1000000</f>
        <v>1.190126202956385</v>
      </c>
      <c r="G167" s="385">
        <f>G163*Buses!$AD$23/100*G165/278/1000000</f>
        <v>1.9835436715939747</v>
      </c>
      <c r="H167" s="385">
        <f>H163*Buses!$AD$23/100*H165/278/1000000</f>
        <v>2.9091973850044961</v>
      </c>
      <c r="I167" s="385">
        <f>I163*Buses!$AD$23/100*I165/278/1000000</f>
        <v>3.8348510984150179</v>
      </c>
      <c r="J167" s="385">
        <f>J163*Buses!$AD$23/100*J165/278/1000000</f>
        <v>4.7605048118255402</v>
      </c>
      <c r="K167" s="385">
        <f>K163*Buses!$AD$23/100*K165/278/1000000</f>
        <v>5.6861585252360607</v>
      </c>
      <c r="L167" s="385">
        <f>L163*Buses!$AD$23/100*L165/278/1000000</f>
        <v>6.611812238646583</v>
      </c>
      <c r="M167" s="380">
        <f t="shared" si="130"/>
        <v>27.769611402315647</v>
      </c>
      <c r="N167" s="12" t="s">
        <v>412</v>
      </c>
    </row>
    <row r="168" spans="1:14" x14ac:dyDescent="0.2">
      <c r="A168" s="314" t="s">
        <v>438</v>
      </c>
      <c r="B168" s="314"/>
      <c r="C168" s="419">
        <f>(C166*$C$204)-(C167*$C$202)</f>
        <v>8.8148680765636254</v>
      </c>
      <c r="D168" s="419">
        <f t="shared" ref="D168:L168" si="131">(D166*$C$204)-(D167*$C$202)</f>
        <v>26.444604229690874</v>
      </c>
      <c r="E168" s="419">
        <f t="shared" si="131"/>
        <v>70.518944612509003</v>
      </c>
      <c r="F168" s="419">
        <f t="shared" si="131"/>
        <v>158.66762537814526</v>
      </c>
      <c r="G168" s="419">
        <f t="shared" si="131"/>
        <v>264.44604229690879</v>
      </c>
      <c r="H168" s="419">
        <f t="shared" si="131"/>
        <v>387.85419536879954</v>
      </c>
      <c r="I168" s="419">
        <f t="shared" si="131"/>
        <v>511.26234844069029</v>
      </c>
      <c r="J168" s="419">
        <f t="shared" si="131"/>
        <v>634.67050151258104</v>
      </c>
      <c r="K168" s="419">
        <f t="shared" si="131"/>
        <v>758.07865458447179</v>
      </c>
      <c r="L168" s="419">
        <f t="shared" si="131"/>
        <v>881.48680765636243</v>
      </c>
      <c r="M168" s="380">
        <f t="shared" si="130"/>
        <v>3702.2445921567228</v>
      </c>
      <c r="N168" s="12"/>
    </row>
    <row r="169" spans="1:14" x14ac:dyDescent="0.2">
      <c r="A169" s="314" t="s">
        <v>382</v>
      </c>
      <c r="B169" s="314"/>
      <c r="C169" s="384">
        <f t="shared" ref="C169:L169" si="132">C166*diespj/1000-(C167*C207/1000000)</f>
        <v>2.3636785143610232E-2</v>
      </c>
      <c r="D169" s="384">
        <f t="shared" si="132"/>
        <v>7.0910353433576059E-2</v>
      </c>
      <c r="E169" s="384">
        <f t="shared" si="132"/>
        <v>0.18909427049643124</v>
      </c>
      <c r="F169" s="384">
        <f t="shared" si="132"/>
        <v>0.42546209663152562</v>
      </c>
      <c r="G169" s="384">
        <f t="shared" si="132"/>
        <v>0.70910347440853783</v>
      </c>
      <c r="H169" s="384">
        <f t="shared" si="132"/>
        <v>1.0400183998300825</v>
      </c>
      <c r="I169" s="384">
        <f t="shared" si="132"/>
        <v>1.3709333066015312</v>
      </c>
      <c r="J169" s="384">
        <f t="shared" si="132"/>
        <v>1.7018481947206472</v>
      </c>
      <c r="K169" s="384">
        <f t="shared" si="132"/>
        <v>2.0327630641851928</v>
      </c>
      <c r="L169" s="384">
        <f t="shared" si="132"/>
        <v>2.3636779149929303</v>
      </c>
      <c r="M169" s="380">
        <f t="shared" si="130"/>
        <v>9.9274478604440652</v>
      </c>
      <c r="N169" s="12" t="s">
        <v>412</v>
      </c>
    </row>
    <row r="170" spans="1:14" x14ac:dyDescent="0.2">
      <c r="A170" s="221" t="s">
        <v>383</v>
      </c>
      <c r="B170" s="381">
        <f>'The Low Carbon Scenario'!C43</f>
        <v>500000</v>
      </c>
      <c r="C170" s="381">
        <f>B170*(1-'The Low Carbon Scenario'!$C$44)</f>
        <v>450000</v>
      </c>
      <c r="D170" s="381">
        <f>C170*(1-'The Low Carbon Scenario'!$C$44)</f>
        <v>405000</v>
      </c>
      <c r="E170" s="381">
        <f>D170*(1-'The Low Carbon Scenario'!$C$44)</f>
        <v>364500</v>
      </c>
      <c r="F170" s="381">
        <f>E170*(1-'The Low Carbon Scenario'!$C$44)</f>
        <v>328050</v>
      </c>
      <c r="G170" s="381">
        <f>F170*(1-'The Low Carbon Scenario'!$C$44)</f>
        <v>295245</v>
      </c>
      <c r="H170" s="381">
        <f>G170*(1-'The Low Carbon Scenario'!$C$44)</f>
        <v>265720.5</v>
      </c>
      <c r="I170" s="381">
        <f>H170*(1-'The Low Carbon Scenario'!$C$44)</f>
        <v>239148.45</v>
      </c>
      <c r="J170" s="381">
        <f>I170*(1-'The Low Carbon Scenario'!$C$44)</f>
        <v>215233.60500000001</v>
      </c>
      <c r="K170" s="381">
        <f>J170*(1-'The Low Carbon Scenario'!$C$44)</f>
        <v>193710.2445</v>
      </c>
      <c r="L170" s="381">
        <f>K170*(1-'The Low Carbon Scenario'!$C$44)</f>
        <v>174339.22005</v>
      </c>
      <c r="M170" s="380"/>
      <c r="N170" s="50" t="s">
        <v>412</v>
      </c>
    </row>
    <row r="171" spans="1:14" x14ac:dyDescent="0.2">
      <c r="A171" s="221" t="s">
        <v>384</v>
      </c>
      <c r="B171" s="379">
        <f>B162*'The Low Carbon Scenario'!$C$43/1000000</f>
        <v>0</v>
      </c>
      <c r="C171" s="379">
        <f t="shared" ref="C171:L171" si="133">C162*C170/1000000</f>
        <v>112.5</v>
      </c>
      <c r="D171" s="379">
        <f t="shared" si="133"/>
        <v>202.5</v>
      </c>
      <c r="E171" s="379">
        <f t="shared" si="133"/>
        <v>455.625</v>
      </c>
      <c r="F171" s="379">
        <f t="shared" si="133"/>
        <v>820.125</v>
      </c>
      <c r="G171" s="379">
        <f t="shared" si="133"/>
        <v>885.73500000000001</v>
      </c>
      <c r="H171" s="379">
        <f t="shared" si="133"/>
        <v>930.02175000000011</v>
      </c>
      <c r="I171" s="379">
        <f t="shared" si="133"/>
        <v>837.01957500000015</v>
      </c>
      <c r="J171" s="379">
        <f t="shared" si="133"/>
        <v>753.3176175000001</v>
      </c>
      <c r="K171" s="379">
        <f t="shared" si="133"/>
        <v>677.98585575000016</v>
      </c>
      <c r="L171" s="379">
        <f t="shared" si="133"/>
        <v>610.18727017500009</v>
      </c>
      <c r="M171" s="380">
        <f t="shared" si="130"/>
        <v>6285.0170684250006</v>
      </c>
      <c r="N171" s="50" t="s">
        <v>412</v>
      </c>
    </row>
    <row r="172" spans="1:14" x14ac:dyDescent="0.2">
      <c r="A172" s="221" t="s">
        <v>227</v>
      </c>
      <c r="B172" s="379">
        <f t="shared" ref="B172:L172" si="134">B171*jobmultiplier</f>
        <v>0</v>
      </c>
      <c r="C172" s="379">
        <f t="shared" si="134"/>
        <v>832.5</v>
      </c>
      <c r="D172" s="379">
        <f t="shared" si="134"/>
        <v>1498.5</v>
      </c>
      <c r="E172" s="379">
        <f t="shared" si="134"/>
        <v>3371.625</v>
      </c>
      <c r="F172" s="379">
        <f t="shared" si="134"/>
        <v>6068.9250000000002</v>
      </c>
      <c r="G172" s="379">
        <f t="shared" si="134"/>
        <v>6554.4390000000003</v>
      </c>
      <c r="H172" s="379">
        <f t="shared" si="134"/>
        <v>6882.1609500000013</v>
      </c>
      <c r="I172" s="379">
        <f t="shared" si="134"/>
        <v>6193.9448550000016</v>
      </c>
      <c r="J172" s="379">
        <f t="shared" si="134"/>
        <v>5574.5503695000007</v>
      </c>
      <c r="K172" s="379">
        <f t="shared" si="134"/>
        <v>5017.0953325500013</v>
      </c>
      <c r="L172" s="379">
        <f t="shared" si="134"/>
        <v>4515.3857992950007</v>
      </c>
      <c r="M172" s="380">
        <f>SUM(B172:L172)</f>
        <v>46509.12630634501</v>
      </c>
      <c r="N172" s="50" t="s">
        <v>412</v>
      </c>
    </row>
    <row r="173" spans="1:14" ht="15.75" x14ac:dyDescent="0.25">
      <c r="A173" s="322" t="s">
        <v>394</v>
      </c>
      <c r="B173" s="251">
        <v>2020</v>
      </c>
      <c r="C173" s="251">
        <v>2021</v>
      </c>
      <c r="D173" s="251">
        <v>2022</v>
      </c>
      <c r="E173" s="251">
        <v>2023</v>
      </c>
      <c r="F173" s="251">
        <v>2024</v>
      </c>
      <c r="G173" s="251">
        <v>2025</v>
      </c>
      <c r="H173" s="251">
        <v>2026</v>
      </c>
      <c r="I173" s="251">
        <v>2027</v>
      </c>
      <c r="J173" s="251">
        <v>2028</v>
      </c>
      <c r="K173" s="251">
        <v>2029</v>
      </c>
      <c r="L173" s="251">
        <v>2030</v>
      </c>
      <c r="M173" s="323"/>
      <c r="N173" s="50" t="s">
        <v>413</v>
      </c>
    </row>
    <row r="174" spans="1:14" x14ac:dyDescent="0.2">
      <c r="A174" s="319" t="s">
        <v>365</v>
      </c>
      <c r="B174" s="381">
        <f>'The Low Carbon Scenario'!$C$49*'The Low Carbon Scenario'!G16</f>
        <v>0</v>
      </c>
      <c r="C174" s="381">
        <f>'The Low Carbon Scenario'!$C$49*'The Low Carbon Scenario'!H16</f>
        <v>250</v>
      </c>
      <c r="D174" s="381">
        <f>'The Low Carbon Scenario'!$C$49*'The Low Carbon Scenario'!I16</f>
        <v>500</v>
      </c>
      <c r="E174" s="381">
        <f>'The Low Carbon Scenario'!$C$49*'The Low Carbon Scenario'!J16</f>
        <v>1250</v>
      </c>
      <c r="F174" s="381">
        <f>'The Low Carbon Scenario'!$C$49*'The Low Carbon Scenario'!K16</f>
        <v>2500</v>
      </c>
      <c r="G174" s="381">
        <f>'The Low Carbon Scenario'!$C$49*'The Low Carbon Scenario'!L16</f>
        <v>3000</v>
      </c>
      <c r="H174" s="381">
        <f>'The Low Carbon Scenario'!$C$49*'The Low Carbon Scenario'!M16</f>
        <v>3500.0000000000005</v>
      </c>
      <c r="I174" s="381">
        <f>'The Low Carbon Scenario'!$C$49*'The Low Carbon Scenario'!N16</f>
        <v>3500.0000000000005</v>
      </c>
      <c r="J174" s="381">
        <f>'The Low Carbon Scenario'!$C$49*'The Low Carbon Scenario'!O16</f>
        <v>3500.0000000000005</v>
      </c>
      <c r="K174" s="381">
        <f>'The Low Carbon Scenario'!$C$49*'The Low Carbon Scenario'!P16</f>
        <v>3500.0000000000005</v>
      </c>
      <c r="L174" s="381">
        <f>'The Low Carbon Scenario'!$C$49*'The Low Carbon Scenario'!Q16</f>
        <v>3500.0000000000005</v>
      </c>
      <c r="M174" s="387">
        <f>'The Low Carbon Scenario'!$C$49*'The Low Carbon Scenario'!R16</f>
        <v>25000</v>
      </c>
      <c r="N174" s="50" t="s">
        <v>413</v>
      </c>
    </row>
    <row r="175" spans="1:14" x14ac:dyDescent="0.2">
      <c r="A175" s="319" t="s">
        <v>381</v>
      </c>
      <c r="B175" s="387"/>
      <c r="C175" s="387">
        <f>C174</f>
        <v>250</v>
      </c>
      <c r="D175" s="387">
        <f t="shared" ref="D175:L175" si="135">C175+D174</f>
        <v>750</v>
      </c>
      <c r="E175" s="387">
        <f t="shared" si="135"/>
        <v>2000</v>
      </c>
      <c r="F175" s="387">
        <f t="shared" si="135"/>
        <v>4500</v>
      </c>
      <c r="G175" s="387">
        <f t="shared" si="135"/>
        <v>7500</v>
      </c>
      <c r="H175" s="387">
        <f t="shared" si="135"/>
        <v>11000</v>
      </c>
      <c r="I175" s="387">
        <f t="shared" si="135"/>
        <v>14500</v>
      </c>
      <c r="J175" s="387">
        <f t="shared" si="135"/>
        <v>18000</v>
      </c>
      <c r="K175" s="387">
        <f t="shared" si="135"/>
        <v>21500</v>
      </c>
      <c r="L175" s="387">
        <f t="shared" si="135"/>
        <v>25000</v>
      </c>
      <c r="M175" s="388"/>
      <c r="N175" s="50" t="s">
        <v>413</v>
      </c>
    </row>
    <row r="176" spans="1:14" x14ac:dyDescent="0.2">
      <c r="A176" s="319" t="s">
        <v>418</v>
      </c>
      <c r="B176" s="387">
        <f>Buses!$C$50</f>
        <v>30</v>
      </c>
      <c r="C176" s="387">
        <f>Buses!$C$50</f>
        <v>30</v>
      </c>
      <c r="D176" s="387">
        <f>Buses!$C$50</f>
        <v>30</v>
      </c>
      <c r="E176" s="387">
        <f>Buses!$C$50</f>
        <v>30</v>
      </c>
      <c r="F176" s="387">
        <f>Buses!$C$50</f>
        <v>30</v>
      </c>
      <c r="G176" s="387">
        <f>Buses!$C$50</f>
        <v>30</v>
      </c>
      <c r="H176" s="387">
        <f>Buses!$C$50</f>
        <v>30</v>
      </c>
      <c r="I176" s="387">
        <f>Buses!$C$50</f>
        <v>30</v>
      </c>
      <c r="J176" s="387">
        <f>Buses!$C$50</f>
        <v>30</v>
      </c>
      <c r="K176" s="387">
        <f>Buses!$C$50</f>
        <v>30</v>
      </c>
      <c r="L176" s="387">
        <f>Buses!$C$50</f>
        <v>30</v>
      </c>
      <c r="M176" s="388"/>
      <c r="N176" s="50" t="s">
        <v>413</v>
      </c>
    </row>
    <row r="177" spans="1:15" x14ac:dyDescent="0.2">
      <c r="A177" s="319" t="s">
        <v>420</v>
      </c>
      <c r="B177" s="387">
        <v>60</v>
      </c>
      <c r="C177" s="387">
        <f t="shared" ref="C177:K177" si="136">($L177/$B177)^(1/10)*B177</f>
        <v>60</v>
      </c>
      <c r="D177" s="387">
        <f t="shared" si="136"/>
        <v>60</v>
      </c>
      <c r="E177" s="387">
        <f t="shared" si="136"/>
        <v>60</v>
      </c>
      <c r="F177" s="387">
        <f t="shared" si="136"/>
        <v>60</v>
      </c>
      <c r="G177" s="387">
        <f t="shared" si="136"/>
        <v>60</v>
      </c>
      <c r="H177" s="387">
        <f t="shared" si="136"/>
        <v>60</v>
      </c>
      <c r="I177" s="387">
        <f t="shared" si="136"/>
        <v>60</v>
      </c>
      <c r="J177" s="387">
        <f t="shared" si="136"/>
        <v>60</v>
      </c>
      <c r="K177" s="387">
        <f t="shared" si="136"/>
        <v>60</v>
      </c>
      <c r="L177" s="381">
        <f>'The Low Carbon Scenario'!C54</f>
        <v>60</v>
      </c>
      <c r="M177" s="388"/>
      <c r="N177" s="50" t="s">
        <v>413</v>
      </c>
    </row>
    <row r="178" spans="1:15" x14ac:dyDescent="0.2">
      <c r="A178" s="319" t="s">
        <v>415</v>
      </c>
      <c r="B178" s="387"/>
      <c r="C178" s="389">
        <f>C175*Buses!$AD$22/100*C176*diesmjpl/1000000000</f>
        <v>8.071045949216249E-2</v>
      </c>
      <c r="D178" s="389">
        <f>D175*Buses!$AD$22/100*D176*diesmjpl/1000000000</f>
        <v>0.24213137847648752</v>
      </c>
      <c r="E178" s="389">
        <f>E175*Buses!$AD$22/100*E176*diesmjpl/1000000000</f>
        <v>0.64568367593729992</v>
      </c>
      <c r="F178" s="389">
        <f>F175*Buses!$AD$22/100*F176*diesmjpl/1000000000</f>
        <v>1.4527882708589248</v>
      </c>
      <c r="G178" s="389">
        <f>G175*Buses!$AD$22/100*G176*diesmjpl/1000000000</f>
        <v>2.4213137847648754</v>
      </c>
      <c r="H178" s="389">
        <f>H175*Buses!$AD$22/100*H176*diesmjpl/1000000000</f>
        <v>3.5512602176551495</v>
      </c>
      <c r="I178" s="389">
        <f>I175*Buses!$AD$22/100*I176*diesmjpl/1000000000</f>
        <v>4.6812066505454251</v>
      </c>
      <c r="J178" s="389">
        <f>J175*Buses!$AD$22/100*J176*diesmjpl/1000000000</f>
        <v>5.8111530834356993</v>
      </c>
      <c r="K178" s="389">
        <f>K175*Buses!$AD$22/100*K176*diesmjpl/1000000000</f>
        <v>6.9410995163259752</v>
      </c>
      <c r="L178" s="389">
        <f>L175*Buses!$AD$22/100*L176*diesmjpl/1000000000</f>
        <v>8.0710459492162521</v>
      </c>
      <c r="M178" s="388">
        <f t="shared" ref="M178:M181" si="137">SUM(B178:L178)</f>
        <v>33.898392986708245</v>
      </c>
      <c r="N178" s="50" t="s">
        <v>413</v>
      </c>
    </row>
    <row r="179" spans="1:15" x14ac:dyDescent="0.2">
      <c r="A179" s="319" t="s">
        <v>416</v>
      </c>
      <c r="B179" s="387"/>
      <c r="C179" s="389">
        <f>C175*Buses!$AD$22/100*C177/278/1000000</f>
        <v>1.5081838641906476E-2</v>
      </c>
      <c r="D179" s="389">
        <f>D175*Buses!$AD$22/100*D177/278/1000000</f>
        <v>4.5245515925719432E-2</v>
      </c>
      <c r="E179" s="389">
        <f>E175*Buses!$AD$22/100*E177/278/1000000</f>
        <v>0.12065470913525181</v>
      </c>
      <c r="F179" s="389">
        <f>F175*Buses!$AD$22/100*F177/278/1000000</f>
        <v>0.27147309555431653</v>
      </c>
      <c r="G179" s="389">
        <f>G175*Buses!$AD$22/100*G177/278/1000000</f>
        <v>0.45245515925719426</v>
      </c>
      <c r="H179" s="389">
        <f>H175*Buses!$AD$22/100*H177/278/1000000</f>
        <v>0.66360090024388474</v>
      </c>
      <c r="I179" s="389">
        <f>I175*Buses!$AD$22/100*I177/278/1000000</f>
        <v>0.87474664123057566</v>
      </c>
      <c r="J179" s="389">
        <f>J175*Buses!$AD$22/100*J177/278/1000000</f>
        <v>1.0858923822172661</v>
      </c>
      <c r="K179" s="389">
        <f>K175*Buses!$AD$22/100*K177/278/1000000</f>
        <v>1.2970381232039567</v>
      </c>
      <c r="L179" s="389">
        <f>L175*Buses!$AD$22/100*L177/278/1000000</f>
        <v>1.5081838641906475</v>
      </c>
      <c r="M179" s="390">
        <f t="shared" si="137"/>
        <v>6.3343722296007199</v>
      </c>
      <c r="N179" s="50" t="s">
        <v>413</v>
      </c>
    </row>
    <row r="180" spans="1:15" x14ac:dyDescent="0.2">
      <c r="A180" s="319" t="s">
        <v>438</v>
      </c>
      <c r="B180" s="387"/>
      <c r="C180" s="420">
        <f>(C178*$C$204)-(C179*$C$202)</f>
        <v>2.0945657505879711</v>
      </c>
      <c r="D180" s="420">
        <f t="shared" ref="D180:L180" si="138">(D178*$C$204)-(D179*$C$202)</f>
        <v>6.2836972517639147</v>
      </c>
      <c r="E180" s="420">
        <f t="shared" si="138"/>
        <v>16.756526004703769</v>
      </c>
      <c r="F180" s="420">
        <f t="shared" si="138"/>
        <v>37.702183510583481</v>
      </c>
      <c r="G180" s="420">
        <f t="shared" si="138"/>
        <v>62.836972517639154</v>
      </c>
      <c r="H180" s="420">
        <f t="shared" si="138"/>
        <v>92.16089302587072</v>
      </c>
      <c r="I180" s="420">
        <f t="shared" si="138"/>
        <v>121.48481353410234</v>
      </c>
      <c r="J180" s="420">
        <f t="shared" si="138"/>
        <v>150.80873404233392</v>
      </c>
      <c r="K180" s="420">
        <f t="shared" si="138"/>
        <v>180.13265455056555</v>
      </c>
      <c r="L180" s="420">
        <f t="shared" si="138"/>
        <v>209.4565750587972</v>
      </c>
      <c r="M180" s="390">
        <f t="shared" si="137"/>
        <v>879.71761524694796</v>
      </c>
      <c r="N180" s="50"/>
    </row>
    <row r="181" spans="1:15" x14ac:dyDescent="0.2">
      <c r="A181" s="319" t="s">
        <v>382</v>
      </c>
      <c r="B181" s="387"/>
      <c r="C181" s="386">
        <f t="shared" ref="C181:L181" si="139">C178*diespj/1000-(C179*C207/1000000)</f>
        <v>5.6163875863994728E-3</v>
      </c>
      <c r="D181" s="386">
        <f t="shared" si="139"/>
        <v>1.6849162303615731E-2</v>
      </c>
      <c r="E181" s="386">
        <f t="shared" si="139"/>
        <v>4.4931098261324277E-2</v>
      </c>
      <c r="F181" s="386">
        <f t="shared" si="139"/>
        <v>0.10109496835404627</v>
      </c>
      <c r="G181" s="386">
        <f t="shared" si="139"/>
        <v>0.16849160936649052</v>
      </c>
      <c r="H181" s="386">
        <f t="shared" si="139"/>
        <v>0.2471210203868355</v>
      </c>
      <c r="I181" s="386">
        <f t="shared" si="139"/>
        <v>0.32575042715301056</v>
      </c>
      <c r="J181" s="386">
        <f t="shared" si="139"/>
        <v>0.4043798296645052</v>
      </c>
      <c r="K181" s="386">
        <f t="shared" si="139"/>
        <v>0.48300922792080914</v>
      </c>
      <c r="L181" s="386">
        <f t="shared" si="139"/>
        <v>0.56163862192141212</v>
      </c>
      <c r="M181" s="390">
        <f t="shared" si="137"/>
        <v>2.3588823529184486</v>
      </c>
      <c r="N181" s="50" t="s">
        <v>413</v>
      </c>
    </row>
    <row r="182" spans="1:15" x14ac:dyDescent="0.2">
      <c r="A182" s="319" t="s">
        <v>383</v>
      </c>
      <c r="B182" s="381">
        <f>'The Low Carbon Scenario'!C50</f>
        <v>150000</v>
      </c>
      <c r="C182" s="381">
        <f>B182*(1-'The Low Carbon Scenario'!$C$51)</f>
        <v>135000</v>
      </c>
      <c r="D182" s="381">
        <f>C182*(1-'The Low Carbon Scenario'!$C$51)</f>
        <v>121500</v>
      </c>
      <c r="E182" s="381">
        <f>D182*(1-'The Low Carbon Scenario'!$C$51)</f>
        <v>109350</v>
      </c>
      <c r="F182" s="381">
        <f>E182*(1-'The Low Carbon Scenario'!$C$51)</f>
        <v>98415</v>
      </c>
      <c r="G182" s="381">
        <f>F182*(1-'The Low Carbon Scenario'!$C$51)</f>
        <v>88573.5</v>
      </c>
      <c r="H182" s="381">
        <f>G182*(1-'The Low Carbon Scenario'!$C$51)</f>
        <v>79716.150000000009</v>
      </c>
      <c r="I182" s="381">
        <f>H182*(1-'The Low Carbon Scenario'!$C$51)</f>
        <v>71744.535000000003</v>
      </c>
      <c r="J182" s="381">
        <f>I182*(1-'The Low Carbon Scenario'!$C$51)</f>
        <v>64570.081500000008</v>
      </c>
      <c r="K182" s="381">
        <f>J182*(1-'The Low Carbon Scenario'!$C$51)</f>
        <v>58113.073350000006</v>
      </c>
      <c r="L182" s="381">
        <f>K182*(1-'The Low Carbon Scenario'!$C$51)</f>
        <v>52301.766015000008</v>
      </c>
      <c r="M182" s="388"/>
      <c r="N182" s="50" t="s">
        <v>413</v>
      </c>
    </row>
    <row r="183" spans="1:15" x14ac:dyDescent="0.2">
      <c r="A183" s="319" t="s">
        <v>384</v>
      </c>
      <c r="B183" s="387"/>
      <c r="C183" s="391">
        <f>C182*C174/1000000</f>
        <v>33.75</v>
      </c>
      <c r="D183" s="391">
        <f t="shared" ref="D183:L183" si="140">D182*D174/1000000</f>
        <v>60.75</v>
      </c>
      <c r="E183" s="391">
        <f t="shared" si="140"/>
        <v>136.6875</v>
      </c>
      <c r="F183" s="391">
        <f t="shared" si="140"/>
        <v>246.03749999999999</v>
      </c>
      <c r="G183" s="391">
        <f t="shared" si="140"/>
        <v>265.72050000000002</v>
      </c>
      <c r="H183" s="391">
        <f t="shared" si="140"/>
        <v>279.00652500000007</v>
      </c>
      <c r="I183" s="391">
        <f t="shared" si="140"/>
        <v>251.10587250000006</v>
      </c>
      <c r="J183" s="391">
        <f t="shared" si="140"/>
        <v>225.99528525000005</v>
      </c>
      <c r="K183" s="391">
        <f t="shared" si="140"/>
        <v>203.39575672500004</v>
      </c>
      <c r="L183" s="391">
        <f t="shared" si="140"/>
        <v>183.05618105250005</v>
      </c>
      <c r="M183" s="388">
        <f>SUM(B183:L183)</f>
        <v>1885.5051205275001</v>
      </c>
      <c r="N183" s="50" t="s">
        <v>413</v>
      </c>
    </row>
    <row r="184" spans="1:15" ht="13.5" thickBot="1" x14ac:dyDescent="0.25">
      <c r="A184" s="320" t="s">
        <v>227</v>
      </c>
      <c r="B184" s="394"/>
      <c r="C184" s="394">
        <f t="shared" ref="C184:L184" si="141">C183*jobmultiplier</f>
        <v>249.75</v>
      </c>
      <c r="D184" s="394">
        <f t="shared" si="141"/>
        <v>449.55</v>
      </c>
      <c r="E184" s="394">
        <f t="shared" si="141"/>
        <v>1011.4875000000001</v>
      </c>
      <c r="F184" s="394">
        <f t="shared" si="141"/>
        <v>1820.6775</v>
      </c>
      <c r="G184" s="394">
        <f t="shared" si="141"/>
        <v>1966.3317000000002</v>
      </c>
      <c r="H184" s="394">
        <f t="shared" si="141"/>
        <v>2064.6482850000007</v>
      </c>
      <c r="I184" s="394">
        <f t="shared" si="141"/>
        <v>1858.1834565000006</v>
      </c>
      <c r="J184" s="394">
        <f t="shared" si="141"/>
        <v>1672.3651108500005</v>
      </c>
      <c r="K184" s="394">
        <f t="shared" si="141"/>
        <v>1505.1285997650004</v>
      </c>
      <c r="L184" s="394">
        <f t="shared" si="141"/>
        <v>1354.6157397885004</v>
      </c>
      <c r="M184" s="395">
        <f>SUM(B184:L184)</f>
        <v>13952.737891903504</v>
      </c>
      <c r="N184" s="50" t="s">
        <v>413</v>
      </c>
    </row>
    <row r="185" spans="1:15" ht="18" x14ac:dyDescent="0.25">
      <c r="A185" s="400" t="s">
        <v>421</v>
      </c>
      <c r="B185" s="392">
        <v>2020</v>
      </c>
      <c r="C185" s="392">
        <v>2021</v>
      </c>
      <c r="D185" s="392">
        <v>2022</v>
      </c>
      <c r="E185" s="392">
        <v>2023</v>
      </c>
      <c r="F185" s="392">
        <v>2024</v>
      </c>
      <c r="G185" s="392">
        <v>2025</v>
      </c>
      <c r="H185" s="392">
        <v>2026</v>
      </c>
      <c r="I185" s="392">
        <v>2027</v>
      </c>
      <c r="J185" s="392">
        <v>2028</v>
      </c>
      <c r="K185" s="392">
        <v>2029</v>
      </c>
      <c r="L185" s="392">
        <v>2030</v>
      </c>
      <c r="M185" s="393"/>
      <c r="N185" s="50" t="s">
        <v>427</v>
      </c>
    </row>
    <row r="186" spans="1:15" x14ac:dyDescent="0.2">
      <c r="A186" s="401" t="s">
        <v>422</v>
      </c>
      <c r="B186" s="222"/>
      <c r="C186" s="216">
        <f>'The Low Carbon Scenario'!C31</f>
        <v>1000</v>
      </c>
      <c r="D186" s="222"/>
      <c r="E186" s="222"/>
      <c r="F186" s="222"/>
      <c r="G186" s="222"/>
      <c r="H186" s="222"/>
      <c r="I186" s="222"/>
      <c r="J186" s="222"/>
      <c r="K186" s="222"/>
      <c r="L186" s="222"/>
      <c r="M186" s="402"/>
      <c r="N186" s="50" t="s">
        <v>427</v>
      </c>
      <c r="O186" s="12" t="s">
        <v>428</v>
      </c>
    </row>
    <row r="187" spans="1:15" x14ac:dyDescent="0.2">
      <c r="A187" s="401" t="s">
        <v>300</v>
      </c>
      <c r="B187" s="222"/>
      <c r="C187" s="256">
        <f>C186*jobmultiplier</f>
        <v>7400</v>
      </c>
      <c r="D187" s="222"/>
      <c r="E187" s="222"/>
      <c r="F187" s="222"/>
      <c r="G187" s="222"/>
      <c r="H187" s="222"/>
      <c r="I187" s="222"/>
      <c r="J187" s="222"/>
      <c r="K187" s="222"/>
      <c r="L187" s="222"/>
      <c r="M187" s="402"/>
      <c r="N187" s="50" t="s">
        <v>427</v>
      </c>
      <c r="O187" s="12" t="s">
        <v>429</v>
      </c>
    </row>
    <row r="188" spans="1:15" x14ac:dyDescent="0.2">
      <c r="A188" s="403" t="s">
        <v>425</v>
      </c>
      <c r="B188" s="396">
        <f>'The Low Carbon Scenario'!$C$40*' Calcs &amp; Detailed Results'!B193</f>
        <v>0</v>
      </c>
      <c r="C188" s="396">
        <f>'The Low Carbon Scenario'!$C$40*' Calcs &amp; Detailed Results'!C193</f>
        <v>734.642784260349</v>
      </c>
      <c r="D188" s="396">
        <f>'The Low Carbon Scenario'!$C$40*' Calcs &amp; Detailed Results'!D193</f>
        <v>1469.285568520698</v>
      </c>
      <c r="E188" s="396">
        <f>'The Low Carbon Scenario'!$C$40*' Calcs &amp; Detailed Results'!E193</f>
        <v>1469.285568520698</v>
      </c>
      <c r="F188" s="396">
        <f>'The Low Carbon Scenario'!$C$40*' Calcs &amp; Detailed Results'!F193</f>
        <v>1469.285568520698</v>
      </c>
      <c r="G188" s="396">
        <f>'The Low Carbon Scenario'!$C$40*' Calcs &amp; Detailed Results'!G193</f>
        <v>2203.9283527810467</v>
      </c>
      <c r="H188" s="396">
        <f>'The Low Carbon Scenario'!$C$40*' Calcs &amp; Detailed Results'!H193</f>
        <v>2938.571137041396</v>
      </c>
      <c r="I188" s="396">
        <f>'The Low Carbon Scenario'!$C$40*' Calcs &amp; Detailed Results'!I193</f>
        <v>2938.571137041396</v>
      </c>
      <c r="J188" s="396">
        <f>'The Low Carbon Scenario'!$C$40*' Calcs &amp; Detailed Results'!J193</f>
        <v>1469.285568520698</v>
      </c>
      <c r="K188" s="396">
        <f>'The Low Carbon Scenario'!$C$40*' Calcs &amp; Detailed Results'!K193</f>
        <v>0</v>
      </c>
      <c r="L188" s="396">
        <f>'The Low Carbon Scenario'!$C$40*' Calcs &amp; Detailed Results'!L193</f>
        <v>0</v>
      </c>
      <c r="M188" s="404">
        <f>SUM(B188:L188)</f>
        <v>14692.85568520698</v>
      </c>
      <c r="N188" s="50" t="s">
        <v>427</v>
      </c>
      <c r="O188" s="12" t="s">
        <v>428</v>
      </c>
    </row>
    <row r="189" spans="1:15" x14ac:dyDescent="0.2">
      <c r="A189" s="403" t="s">
        <v>300</v>
      </c>
      <c r="B189" s="229"/>
      <c r="C189" s="212">
        <f t="shared" ref="C189:L189" si="142">C188*jobmultiplier</f>
        <v>5436.3566035265831</v>
      </c>
      <c r="D189" s="212">
        <f t="shared" si="142"/>
        <v>10872.713207053166</v>
      </c>
      <c r="E189" s="212">
        <f t="shared" si="142"/>
        <v>10872.713207053166</v>
      </c>
      <c r="F189" s="212">
        <f t="shared" si="142"/>
        <v>10872.713207053166</v>
      </c>
      <c r="G189" s="212">
        <f t="shared" si="142"/>
        <v>16309.069810579746</v>
      </c>
      <c r="H189" s="212">
        <f t="shared" si="142"/>
        <v>21745.426414106332</v>
      </c>
      <c r="I189" s="212">
        <f t="shared" si="142"/>
        <v>21745.426414106332</v>
      </c>
      <c r="J189" s="212">
        <f t="shared" si="142"/>
        <v>10872.713207053166</v>
      </c>
      <c r="K189" s="212">
        <f t="shared" si="142"/>
        <v>0</v>
      </c>
      <c r="L189" s="212">
        <f t="shared" si="142"/>
        <v>0</v>
      </c>
      <c r="M189" s="405">
        <f>SUM(B189:L189)</f>
        <v>108727.13207053166</v>
      </c>
      <c r="N189" s="50" t="s">
        <v>427</v>
      </c>
      <c r="O189" s="12" t="s">
        <v>429</v>
      </c>
    </row>
    <row r="190" spans="1:15" x14ac:dyDescent="0.2">
      <c r="A190" s="148" t="s">
        <v>423</v>
      </c>
      <c r="B190" s="182"/>
      <c r="C190" s="182">
        <f>'The Low Carbon Scenario'!C20/2</f>
        <v>1000</v>
      </c>
      <c r="D190" s="182">
        <f>'The Low Carbon Scenario'!C20/2</f>
        <v>1000</v>
      </c>
      <c r="E190" s="182"/>
      <c r="F190" s="182"/>
      <c r="G190" s="182"/>
      <c r="H190" s="182"/>
      <c r="I190" s="182"/>
      <c r="J190" s="182"/>
      <c r="K190" s="182"/>
      <c r="L190" s="182"/>
      <c r="M190" s="406"/>
      <c r="N190" s="50" t="s">
        <v>427</v>
      </c>
      <c r="O190" s="12" t="s">
        <v>428</v>
      </c>
    </row>
    <row r="191" spans="1:15" x14ac:dyDescent="0.2">
      <c r="A191" s="148" t="s">
        <v>426</v>
      </c>
      <c r="B191" s="182"/>
      <c r="C191" s="182">
        <v>0.45</v>
      </c>
      <c r="D191" s="182">
        <v>0.9</v>
      </c>
      <c r="E191" s="182">
        <v>0.9</v>
      </c>
      <c r="F191" s="182">
        <v>0.9</v>
      </c>
      <c r="G191" s="182">
        <v>0.9</v>
      </c>
      <c r="H191" s="182">
        <v>0.9</v>
      </c>
      <c r="I191" s="182">
        <v>0.9</v>
      </c>
      <c r="J191" s="182">
        <v>0.9</v>
      </c>
      <c r="K191" s="182">
        <v>0.9</v>
      </c>
      <c r="L191" s="182">
        <v>0.9</v>
      </c>
      <c r="M191" s="407">
        <f>SUM(B191:L191)</f>
        <v>8.5500000000000007</v>
      </c>
      <c r="N191" s="50" t="s">
        <v>427</v>
      </c>
    </row>
    <row r="192" spans="1:15" x14ac:dyDescent="0.2">
      <c r="A192" s="148" t="s">
        <v>227</v>
      </c>
      <c r="B192" s="182"/>
      <c r="C192" s="182">
        <f>C190*jobmultiplier</f>
        <v>7400</v>
      </c>
      <c r="D192" s="182">
        <f>D190*jobmultiplier</f>
        <v>7400</v>
      </c>
      <c r="E192" s="182"/>
      <c r="F192" s="182"/>
      <c r="G192" s="182"/>
      <c r="H192" s="182"/>
      <c r="I192" s="182"/>
      <c r="J192" s="182"/>
      <c r="K192" s="182"/>
      <c r="L192" s="182"/>
      <c r="M192" s="407">
        <f>SUM(B192:L192)</f>
        <v>14800</v>
      </c>
      <c r="N192" s="50" t="s">
        <v>427</v>
      </c>
      <c r="O192" s="12" t="s">
        <v>429</v>
      </c>
    </row>
    <row r="193" spans="1:14" x14ac:dyDescent="0.2">
      <c r="A193" s="408" t="s">
        <v>424</v>
      </c>
      <c r="B193" s="397"/>
      <c r="C193" s="397">
        <v>0.05</v>
      </c>
      <c r="D193" s="397">
        <v>0.1</v>
      </c>
      <c r="E193" s="397">
        <v>0.1</v>
      </c>
      <c r="F193" s="397">
        <v>0.1</v>
      </c>
      <c r="G193" s="397">
        <v>0.15</v>
      </c>
      <c r="H193" s="397">
        <v>0.2</v>
      </c>
      <c r="I193" s="397">
        <v>0.2</v>
      </c>
      <c r="J193" s="397">
        <v>0.1</v>
      </c>
      <c r="K193" s="397">
        <v>0</v>
      </c>
      <c r="L193" s="397">
        <v>0</v>
      </c>
      <c r="M193" s="409">
        <f>SUM(B193:L193)</f>
        <v>0.99999999999999989</v>
      </c>
      <c r="N193" s="50" t="s">
        <v>427</v>
      </c>
    </row>
    <row r="194" spans="1:14" x14ac:dyDescent="0.2">
      <c r="A194" s="410" t="s">
        <v>430</v>
      </c>
      <c r="B194" s="398"/>
      <c r="C194" s="398"/>
      <c r="D194" s="398"/>
      <c r="E194" s="398"/>
      <c r="F194" s="398"/>
      <c r="G194" s="398"/>
      <c r="H194" s="398"/>
      <c r="I194" s="398"/>
      <c r="J194" s="398"/>
      <c r="K194" s="398"/>
      <c r="L194" s="398"/>
      <c r="M194" s="411"/>
    </row>
    <row r="195" spans="1:14" x14ac:dyDescent="0.2">
      <c r="A195" s="410" t="s">
        <v>431</v>
      </c>
      <c r="B195" s="398"/>
      <c r="C195" s="399">
        <f>SUMIFS(C186:C194,$O$186:$O$194,"capital")</f>
        <v>2734.6427842603489</v>
      </c>
      <c r="D195" s="399">
        <f t="shared" ref="D195:L195" si="143">SUMIFS(D186:D194,$O$186:$O$194,"capital")</f>
        <v>2469.2855685206978</v>
      </c>
      <c r="E195" s="399">
        <f t="shared" si="143"/>
        <v>1469.285568520698</v>
      </c>
      <c r="F195" s="399">
        <f t="shared" si="143"/>
        <v>1469.285568520698</v>
      </c>
      <c r="G195" s="399">
        <f t="shared" si="143"/>
        <v>2203.9283527810467</v>
      </c>
      <c r="H195" s="399">
        <f t="shared" si="143"/>
        <v>2938.571137041396</v>
      </c>
      <c r="I195" s="399">
        <f t="shared" si="143"/>
        <v>2938.571137041396</v>
      </c>
      <c r="J195" s="399">
        <f t="shared" si="143"/>
        <v>1469.285568520698</v>
      </c>
      <c r="K195" s="399">
        <f t="shared" si="143"/>
        <v>0</v>
      </c>
      <c r="L195" s="399">
        <f t="shared" si="143"/>
        <v>0</v>
      </c>
      <c r="M195" s="412">
        <f>SUM(B195:L195)</f>
        <v>17692.855685206978</v>
      </c>
    </row>
    <row r="196" spans="1:14" ht="13.5" thickBot="1" x14ac:dyDescent="0.25">
      <c r="A196" s="413" t="s">
        <v>300</v>
      </c>
      <c r="B196" s="414"/>
      <c r="C196" s="415">
        <f>SUMIFS(C186:C194,$O$186:$O$194,"jobs")</f>
        <v>20236.356603526583</v>
      </c>
      <c r="D196" s="415">
        <f t="shared" ref="D196:L196" si="144">SUMIFS(D186:D194,$O$186:$O$194,"jobs")</f>
        <v>18272.713207053166</v>
      </c>
      <c r="E196" s="415">
        <f t="shared" si="144"/>
        <v>10872.713207053166</v>
      </c>
      <c r="F196" s="415">
        <f t="shared" si="144"/>
        <v>10872.713207053166</v>
      </c>
      <c r="G196" s="415">
        <f t="shared" si="144"/>
        <v>16309.069810579746</v>
      </c>
      <c r="H196" s="415">
        <f t="shared" si="144"/>
        <v>21745.426414106332</v>
      </c>
      <c r="I196" s="415">
        <f t="shared" si="144"/>
        <v>21745.426414106332</v>
      </c>
      <c r="J196" s="415">
        <f t="shared" si="144"/>
        <v>10872.713207053166</v>
      </c>
      <c r="K196" s="415">
        <f t="shared" si="144"/>
        <v>0</v>
      </c>
      <c r="L196" s="415">
        <f t="shared" si="144"/>
        <v>0</v>
      </c>
      <c r="M196" s="416">
        <f>SUM(B196:L196)</f>
        <v>130927.13207053166</v>
      </c>
    </row>
    <row r="198" spans="1:14" ht="13.5" thickBot="1" x14ac:dyDescent="0.25"/>
    <row r="199" spans="1:14" ht="13.5" thickBot="1" x14ac:dyDescent="0.25">
      <c r="A199" s="357" t="s">
        <v>407</v>
      </c>
      <c r="B199" s="358">
        <v>2020</v>
      </c>
      <c r="C199" s="358">
        <f>B199+1</f>
        <v>2021</v>
      </c>
      <c r="D199" s="358">
        <f t="shared" ref="D199:L199" si="145">C199+1</f>
        <v>2022</v>
      </c>
      <c r="E199" s="358">
        <f t="shared" si="145"/>
        <v>2023</v>
      </c>
      <c r="F199" s="358">
        <f t="shared" si="145"/>
        <v>2024</v>
      </c>
      <c r="G199" s="358">
        <f t="shared" si="145"/>
        <v>2025</v>
      </c>
      <c r="H199" s="358">
        <f t="shared" si="145"/>
        <v>2026</v>
      </c>
      <c r="I199" s="358">
        <f t="shared" si="145"/>
        <v>2027</v>
      </c>
      <c r="J199" s="358">
        <f t="shared" si="145"/>
        <v>2028</v>
      </c>
      <c r="K199" s="358">
        <f t="shared" si="145"/>
        <v>2029</v>
      </c>
      <c r="L199" s="359">
        <f t="shared" si="145"/>
        <v>2030</v>
      </c>
    </row>
    <row r="200" spans="1:14" x14ac:dyDescent="0.2">
      <c r="A200" s="349" t="s">
        <v>182</v>
      </c>
      <c r="B200" s="366">
        <f>'The Low Carbon Scenario'!B81</f>
        <v>1</v>
      </c>
      <c r="C200" s="360">
        <f>($L200/$B200)^(1/10)*B200</f>
        <v>1</v>
      </c>
      <c r="D200" s="360">
        <f t="shared" ref="D200:K200" si="146">($L200/$B200)^(1/10)*C200</f>
        <v>1</v>
      </c>
      <c r="E200" s="360">
        <f t="shared" si="146"/>
        <v>1</v>
      </c>
      <c r="F200" s="360">
        <f t="shared" si="146"/>
        <v>1</v>
      </c>
      <c r="G200" s="360">
        <f t="shared" si="146"/>
        <v>1</v>
      </c>
      <c r="H200" s="360">
        <f t="shared" si="146"/>
        <v>1</v>
      </c>
      <c r="I200" s="360">
        <f t="shared" si="146"/>
        <v>1</v>
      </c>
      <c r="J200" s="360">
        <f t="shared" si="146"/>
        <v>1</v>
      </c>
      <c r="K200" s="360">
        <f t="shared" si="146"/>
        <v>1</v>
      </c>
      <c r="L200" s="363">
        <f>'The Low Carbon Scenario'!C81</f>
        <v>1</v>
      </c>
    </row>
    <row r="201" spans="1:14" x14ac:dyDescent="0.2">
      <c r="A201" s="350" t="s">
        <v>183</v>
      </c>
      <c r="B201" s="367">
        <f>'The Low Carbon Scenario'!B82</f>
        <v>1</v>
      </c>
      <c r="C201" s="361">
        <f t="shared" ref="C201:K201" si="147">($L201/$B201)^(1/10)*B201</f>
        <v>1</v>
      </c>
      <c r="D201" s="361">
        <f t="shared" si="147"/>
        <v>1</v>
      </c>
      <c r="E201" s="361">
        <f t="shared" si="147"/>
        <v>1</v>
      </c>
      <c r="F201" s="361">
        <f t="shared" si="147"/>
        <v>1</v>
      </c>
      <c r="G201" s="361">
        <f t="shared" si="147"/>
        <v>1</v>
      </c>
      <c r="H201" s="361">
        <f t="shared" si="147"/>
        <v>1</v>
      </c>
      <c r="I201" s="361">
        <f t="shared" si="147"/>
        <v>1</v>
      </c>
      <c r="J201" s="361">
        <f t="shared" si="147"/>
        <v>1</v>
      </c>
      <c r="K201" s="361">
        <f t="shared" si="147"/>
        <v>1</v>
      </c>
      <c r="L201" s="364">
        <f>'The Low Carbon Scenario'!C82</f>
        <v>1</v>
      </c>
    </row>
    <row r="202" spans="1:14" ht="13.5" thickBot="1" x14ac:dyDescent="0.25">
      <c r="A202" s="351" t="s">
        <v>408</v>
      </c>
      <c r="B202" s="368">
        <f>'The Low Carbon Scenario'!B80</f>
        <v>0.12</v>
      </c>
      <c r="C202" s="362">
        <f t="shared" ref="C202:K202" si="148">($L202/$B202)^(1/10)*B202</f>
        <v>0.12</v>
      </c>
      <c r="D202" s="362">
        <f t="shared" si="148"/>
        <v>0.12</v>
      </c>
      <c r="E202" s="362">
        <f t="shared" si="148"/>
        <v>0.12</v>
      </c>
      <c r="F202" s="362">
        <f t="shared" si="148"/>
        <v>0.12</v>
      </c>
      <c r="G202" s="362">
        <f t="shared" si="148"/>
        <v>0.12</v>
      </c>
      <c r="H202" s="362">
        <f t="shared" si="148"/>
        <v>0.12</v>
      </c>
      <c r="I202" s="362">
        <f t="shared" si="148"/>
        <v>0.12</v>
      </c>
      <c r="J202" s="362">
        <f t="shared" si="148"/>
        <v>0.12</v>
      </c>
      <c r="K202" s="362">
        <f t="shared" si="148"/>
        <v>0.12</v>
      </c>
      <c r="L202" s="365">
        <f>'The Low Carbon Scenario'!C80</f>
        <v>0.12</v>
      </c>
    </row>
    <row r="203" spans="1:14" x14ac:dyDescent="0.2">
      <c r="A203" s="349" t="s">
        <v>409</v>
      </c>
      <c r="B203" s="352">
        <f t="shared" ref="B203:L203" si="149">B200/gasmjpl*1000</f>
        <v>29.411764705882351</v>
      </c>
      <c r="C203" s="352">
        <f t="shared" si="149"/>
        <v>29.411764705882351</v>
      </c>
      <c r="D203" s="352">
        <f t="shared" si="149"/>
        <v>29.411764705882351</v>
      </c>
      <c r="E203" s="352">
        <f t="shared" si="149"/>
        <v>29.411764705882351</v>
      </c>
      <c r="F203" s="352">
        <f t="shared" si="149"/>
        <v>29.411764705882351</v>
      </c>
      <c r="G203" s="352">
        <f t="shared" si="149"/>
        <v>29.411764705882351</v>
      </c>
      <c r="H203" s="352">
        <f t="shared" si="149"/>
        <v>29.411764705882351</v>
      </c>
      <c r="I203" s="352">
        <f t="shared" si="149"/>
        <v>29.411764705882351</v>
      </c>
      <c r="J203" s="352">
        <f t="shared" si="149"/>
        <v>29.411764705882351</v>
      </c>
      <c r="K203" s="352">
        <f t="shared" si="149"/>
        <v>29.411764705882351</v>
      </c>
      <c r="L203" s="353">
        <f t="shared" si="149"/>
        <v>29.411764705882351</v>
      </c>
    </row>
    <row r="204" spans="1:14" x14ac:dyDescent="0.2">
      <c r="A204" s="350" t="s">
        <v>410</v>
      </c>
      <c r="B204" s="348">
        <f t="shared" ref="B204:L204" si="150">B201/diesmjpl*1000</f>
        <v>25.974025974025977</v>
      </c>
      <c r="C204" s="348">
        <f t="shared" si="150"/>
        <v>25.974025974025977</v>
      </c>
      <c r="D204" s="348">
        <f t="shared" si="150"/>
        <v>25.974025974025977</v>
      </c>
      <c r="E204" s="348">
        <f t="shared" si="150"/>
        <v>25.974025974025977</v>
      </c>
      <c r="F204" s="348">
        <f t="shared" si="150"/>
        <v>25.974025974025977</v>
      </c>
      <c r="G204" s="348">
        <f t="shared" si="150"/>
        <v>25.974025974025977</v>
      </c>
      <c r="H204" s="348">
        <f t="shared" si="150"/>
        <v>25.974025974025977</v>
      </c>
      <c r="I204" s="348">
        <f t="shared" si="150"/>
        <v>25.974025974025977</v>
      </c>
      <c r="J204" s="348">
        <f t="shared" si="150"/>
        <v>25.974025974025977</v>
      </c>
      <c r="K204" s="348">
        <f t="shared" si="150"/>
        <v>25.974025974025977</v>
      </c>
      <c r="L204" s="354">
        <f t="shared" si="150"/>
        <v>25.974025974025977</v>
      </c>
    </row>
    <row r="205" spans="1:14" ht="13.5" thickBot="1" x14ac:dyDescent="0.25">
      <c r="A205" s="351" t="s">
        <v>411</v>
      </c>
      <c r="B205" s="355">
        <f>B202*278</f>
        <v>33.36</v>
      </c>
      <c r="C205" s="355">
        <f t="shared" ref="C205:K205" si="151">C202*278</f>
        <v>33.36</v>
      </c>
      <c r="D205" s="355">
        <f t="shared" si="151"/>
        <v>33.36</v>
      </c>
      <c r="E205" s="355">
        <f t="shared" si="151"/>
        <v>33.36</v>
      </c>
      <c r="F205" s="355">
        <f t="shared" si="151"/>
        <v>33.36</v>
      </c>
      <c r="G205" s="355">
        <f t="shared" si="151"/>
        <v>33.36</v>
      </c>
      <c r="H205" s="355">
        <f t="shared" si="151"/>
        <v>33.36</v>
      </c>
      <c r="I205" s="355">
        <f t="shared" si="151"/>
        <v>33.36</v>
      </c>
      <c r="J205" s="355">
        <f t="shared" si="151"/>
        <v>33.36</v>
      </c>
      <c r="K205" s="355">
        <f t="shared" si="151"/>
        <v>33.36</v>
      </c>
      <c r="L205" s="356">
        <f>L202*278</f>
        <v>33.36</v>
      </c>
    </row>
    <row r="207" spans="1:14" x14ac:dyDescent="0.2">
      <c r="A207" s="241" t="s">
        <v>417</v>
      </c>
      <c r="B207" s="121">
        <f>'The Low Carbon Scenario'!B83</f>
        <v>125.89928057553956</v>
      </c>
      <c r="C207" s="245">
        <f t="shared" ref="C207:K207" si="152">($L207/$B207)^(1/10)*B207</f>
        <v>125.90934889392238</v>
      </c>
      <c r="D207" s="245">
        <f t="shared" si="152"/>
        <v>125.91941801748087</v>
      </c>
      <c r="E207" s="245">
        <f t="shared" si="152"/>
        <v>125.92948794627938</v>
      </c>
      <c r="F207" s="245">
        <f t="shared" si="152"/>
        <v>125.93955868038233</v>
      </c>
      <c r="G207" s="245">
        <f t="shared" si="152"/>
        <v>125.94963021985413</v>
      </c>
      <c r="H207" s="245">
        <f t="shared" si="152"/>
        <v>125.95970256475917</v>
      </c>
      <c r="I207" s="245">
        <f t="shared" si="152"/>
        <v>125.96977571516186</v>
      </c>
      <c r="J207" s="245">
        <f t="shared" si="152"/>
        <v>125.97984967112662</v>
      </c>
      <c r="K207" s="245">
        <f t="shared" si="152"/>
        <v>125.98992443271787</v>
      </c>
      <c r="L207" s="378">
        <f>'The Low Carbon Scenario'!C83</f>
        <v>126</v>
      </c>
    </row>
    <row r="210" spans="1:12" ht="20.25" x14ac:dyDescent="0.3">
      <c r="A210" s="511" t="s">
        <v>273</v>
      </c>
      <c r="B210" s="512"/>
      <c r="C210" s="512"/>
      <c r="D210" s="513"/>
      <c r="L210" s="12"/>
    </row>
    <row r="211" spans="1:12" ht="15" x14ac:dyDescent="0.25">
      <c r="A211" s="223" t="s">
        <v>265</v>
      </c>
      <c r="B211" s="126" t="s">
        <v>249</v>
      </c>
      <c r="C211" s="126" t="s">
        <v>250</v>
      </c>
      <c r="D211" s="126" t="s">
        <v>251</v>
      </c>
    </row>
    <row r="212" spans="1:12" x14ac:dyDescent="0.2">
      <c r="A212" s="210" t="s">
        <v>266</v>
      </c>
      <c r="B212" s="131">
        <f>'The Low Carbon Scenario'!B64</f>
        <v>5.1999999999999998E-2</v>
      </c>
      <c r="C212" s="131">
        <f>'The Low Carbon Scenario'!C64</f>
        <v>4.2000000000000003E-2</v>
      </c>
      <c r="D212" s="131">
        <f>'The Low Carbon Scenario'!D64</f>
        <v>0.02</v>
      </c>
    </row>
    <row r="213" spans="1:12" x14ac:dyDescent="0.2">
      <c r="A213" s="210" t="s">
        <v>267</v>
      </c>
      <c r="B213" s="131">
        <f>'The Low Carbon Scenario'!B65</f>
        <v>0.1</v>
      </c>
      <c r="C213" s="131">
        <f>'The Low Carbon Scenario'!C65</f>
        <v>7.4999999999999997E-2</v>
      </c>
      <c r="D213" s="131">
        <f>'The Low Carbon Scenario'!D65</f>
        <v>7.4999999999999997E-2</v>
      </c>
    </row>
    <row r="214" spans="1:12" x14ac:dyDescent="0.2">
      <c r="A214" s="210" t="s">
        <v>269</v>
      </c>
      <c r="B214" s="134">
        <f>'The Low Carbon Scenario'!B66</f>
        <v>17600</v>
      </c>
      <c r="C214" s="134">
        <f>'The Low Carbon Scenario'!C66</f>
        <v>22500</v>
      </c>
      <c r="D214" s="134">
        <f>'The Low Carbon Scenario'!D66</f>
        <v>82000</v>
      </c>
    </row>
    <row r="215" spans="1:12" x14ac:dyDescent="0.2">
      <c r="A215" s="210" t="s">
        <v>268</v>
      </c>
      <c r="B215" s="128">
        <f>'The Low Carbon Scenario'!B67</f>
        <v>11</v>
      </c>
      <c r="C215" s="128">
        <f>'The Low Carbon Scenario'!C67</f>
        <v>21</v>
      </c>
      <c r="D215" s="128">
        <f>'The Low Carbon Scenario'!D67</f>
        <v>31</v>
      </c>
    </row>
    <row r="216" spans="1:12" x14ac:dyDescent="0.2">
      <c r="A216" s="210" t="s">
        <v>270</v>
      </c>
      <c r="B216" s="128">
        <f>'The Low Carbon Scenario'!B68</f>
        <v>40</v>
      </c>
      <c r="C216" s="128">
        <f>'The Low Carbon Scenario'!C68</f>
        <v>80</v>
      </c>
      <c r="D216" s="128">
        <f>'The Low Carbon Scenario'!D68</f>
        <v>125</v>
      </c>
    </row>
    <row r="217" spans="1:12" x14ac:dyDescent="0.2">
      <c r="A217" s="210" t="s">
        <v>271</v>
      </c>
      <c r="B217" s="133">
        <f>'The Low Carbon Scenario'!B69</f>
        <v>2500</v>
      </c>
      <c r="C217" s="133">
        <f>'The Low Carbon Scenario'!C69</f>
        <v>20000</v>
      </c>
      <c r="D217" s="133">
        <f>'The Low Carbon Scenario'!D69</f>
        <v>65000</v>
      </c>
    </row>
    <row r="218" spans="1:12" x14ac:dyDescent="0.2">
      <c r="A218" s="210" t="s">
        <v>272</v>
      </c>
      <c r="B218" s="131">
        <f>'The Low Carbon Scenario'!B70</f>
        <v>0.1</v>
      </c>
      <c r="C218" s="131">
        <f>'The Low Carbon Scenario'!C70</f>
        <v>0.04</v>
      </c>
      <c r="D218" s="131">
        <f>'The Low Carbon Scenario'!D70</f>
        <v>0.04</v>
      </c>
    </row>
    <row r="220" spans="1:12" ht="20.25" x14ac:dyDescent="0.3">
      <c r="A220" s="514" t="s">
        <v>284</v>
      </c>
      <c r="B220" s="514"/>
      <c r="C220" s="514"/>
    </row>
    <row r="221" spans="1:12" ht="15" x14ac:dyDescent="0.2">
      <c r="A221" s="224" t="s">
        <v>279</v>
      </c>
      <c r="B221" s="126" t="s">
        <v>6</v>
      </c>
      <c r="C221" s="126" t="s">
        <v>280</v>
      </c>
    </row>
    <row r="222" spans="1:12" x14ac:dyDescent="0.2">
      <c r="A222" s="73" t="s">
        <v>267</v>
      </c>
      <c r="B222" s="131">
        <f>'The Low Carbon Scenario'!B57</f>
        <v>0.1</v>
      </c>
      <c r="C222" s="131">
        <f>'The Low Carbon Scenario'!C57</f>
        <v>0.1</v>
      </c>
    </row>
    <row r="223" spans="1:12" x14ac:dyDescent="0.2">
      <c r="A223" s="73" t="s">
        <v>268</v>
      </c>
      <c r="B223" s="132">
        <f>'The Low Carbon Scenario'!B58</f>
        <v>8</v>
      </c>
      <c r="C223" s="132">
        <f>'The Low Carbon Scenario'!C58</f>
        <v>11</v>
      </c>
    </row>
    <row r="224" spans="1:12" x14ac:dyDescent="0.2">
      <c r="A224" s="73" t="s">
        <v>281</v>
      </c>
      <c r="B224" s="132">
        <f>'The Low Carbon Scenario'!B59</f>
        <v>20</v>
      </c>
      <c r="C224" s="132">
        <f>'The Low Carbon Scenario'!C59</f>
        <v>27.5</v>
      </c>
    </row>
    <row r="225" spans="1:3" x14ac:dyDescent="0.2">
      <c r="A225" s="73" t="s">
        <v>282</v>
      </c>
      <c r="B225" s="133">
        <f>'The Low Carbon Scenario'!B60</f>
        <v>2500</v>
      </c>
      <c r="C225" s="133">
        <f>'The Low Carbon Scenario'!C60</f>
        <v>15000</v>
      </c>
    </row>
    <row r="226" spans="1:3" x14ac:dyDescent="0.2">
      <c r="A226" s="73" t="s">
        <v>283</v>
      </c>
      <c r="B226" s="131">
        <f>'The Low Carbon Scenario'!B61</f>
        <v>7.0000000000000007E-2</v>
      </c>
      <c r="C226" s="131">
        <f>'The Low Carbon Scenario'!C61</f>
        <v>0.1</v>
      </c>
    </row>
  </sheetData>
  <sheetProtection algorithmName="SHA-512" hashValue="efB4boIC3aiptuCJswmu/QdrYmORWYwCulKEJbEAJsR8Jeunf7vFwx+lQKnX6wiRnkYEluw5ewR1n38ZAtilFA==" saltValue="spzM1IxqP7NfP0UZTcDORg==" spinCount="100000" sheet="1"/>
  <mergeCells count="4">
    <mergeCell ref="A210:D210"/>
    <mergeCell ref="A220:C220"/>
    <mergeCell ref="A120:L120"/>
    <mergeCell ref="A42:L42"/>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N109"/>
  <sheetViews>
    <sheetView topLeftCell="A67" workbookViewId="0">
      <selection activeCell="B20" sqref="B20:L21"/>
    </sheetView>
  </sheetViews>
  <sheetFormatPr defaultRowHeight="12.75" x14ac:dyDescent="0.2"/>
  <cols>
    <col min="1" max="1" width="63.85546875" customWidth="1"/>
    <col min="2" max="3" width="12.28515625" bestFit="1" customWidth="1"/>
    <col min="4" max="4" width="16.42578125" bestFit="1" customWidth="1"/>
    <col min="5" max="12" width="12.28515625" bestFit="1" customWidth="1"/>
  </cols>
  <sheetData>
    <row r="1" spans="1:12" ht="15.75" x14ac:dyDescent="0.25">
      <c r="A1" s="4" t="s">
        <v>219</v>
      </c>
    </row>
    <row r="3" spans="1:12" x14ac:dyDescent="0.2">
      <c r="A3" s="41" t="s">
        <v>87</v>
      </c>
      <c r="B3" s="59">
        <f>C48</f>
        <v>9.1832859831666447E-3</v>
      </c>
    </row>
    <row r="4" spans="1:12" x14ac:dyDescent="0.2">
      <c r="A4" s="41" t="s">
        <v>231</v>
      </c>
      <c r="B4" s="59">
        <v>0.01</v>
      </c>
    </row>
    <row r="5" spans="1:12" x14ac:dyDescent="0.2">
      <c r="A5" s="47" t="s">
        <v>88</v>
      </c>
      <c r="B5" s="44">
        <v>2020</v>
      </c>
      <c r="C5" s="44">
        <f>B5+1</f>
        <v>2021</v>
      </c>
      <c r="D5" s="44">
        <f t="shared" ref="D5:L5" si="0">C5+1</f>
        <v>2022</v>
      </c>
      <c r="E5" s="44">
        <f t="shared" si="0"/>
        <v>2023</v>
      </c>
      <c r="F5" s="44">
        <f t="shared" si="0"/>
        <v>2024</v>
      </c>
      <c r="G5" s="44">
        <f t="shared" si="0"/>
        <v>2025</v>
      </c>
      <c r="H5" s="44">
        <f t="shared" si="0"/>
        <v>2026</v>
      </c>
      <c r="I5" s="44">
        <f t="shared" si="0"/>
        <v>2027</v>
      </c>
      <c r="J5" s="44">
        <f t="shared" si="0"/>
        <v>2028</v>
      </c>
      <c r="K5" s="44">
        <f t="shared" si="0"/>
        <v>2029</v>
      </c>
      <c r="L5" s="44">
        <f t="shared" si="0"/>
        <v>2030</v>
      </c>
    </row>
    <row r="6" spans="1:12" x14ac:dyDescent="0.2">
      <c r="A6" s="108" t="s">
        <v>197</v>
      </c>
      <c r="B6" s="109">
        <f>'Car stock'!AG16+'Truck Stock'!AG34</f>
        <v>22808.068827187784</v>
      </c>
      <c r="C6" s="110">
        <f>B6*(1+$B$4)</f>
        <v>23036.149515459663</v>
      </c>
      <c r="D6" s="110">
        <f t="shared" ref="D6:L6" si="1">C6*(1+$B$4)</f>
        <v>23266.51101061426</v>
      </c>
      <c r="E6" s="110">
        <f t="shared" si="1"/>
        <v>23499.176120720404</v>
      </c>
      <c r="F6" s="110">
        <f t="shared" si="1"/>
        <v>23734.167881927609</v>
      </c>
      <c r="G6" s="110">
        <f t="shared" si="1"/>
        <v>23971.509560746887</v>
      </c>
      <c r="H6" s="110">
        <f t="shared" si="1"/>
        <v>24211.224656354356</v>
      </c>
      <c r="I6" s="110">
        <f t="shared" si="1"/>
        <v>24453.336902917901</v>
      </c>
      <c r="J6" s="110">
        <f t="shared" si="1"/>
        <v>24697.870271947082</v>
      </c>
      <c r="K6" s="110">
        <f t="shared" si="1"/>
        <v>24944.848974666555</v>
      </c>
      <c r="L6" s="110">
        <f t="shared" si="1"/>
        <v>25194.297464413219</v>
      </c>
    </row>
    <row r="7" spans="1:12" x14ac:dyDescent="0.2">
      <c r="A7" s="108" t="s">
        <v>198</v>
      </c>
      <c r="B7" s="109">
        <f>'Car stock'!AG16</f>
        <v>11466.269686555626</v>
      </c>
      <c r="C7" s="110">
        <f>B7-C9+(C13*C12)</f>
        <v>11624.264254815205</v>
      </c>
      <c r="D7" s="110">
        <f t="shared" ref="D7:L7" si="2">C7-D9+(D13*D12)</f>
        <v>11779.505581617977</v>
      </c>
      <c r="E7" s="110">
        <f t="shared" si="2"/>
        <v>11932.399453263315</v>
      </c>
      <c r="F7" s="110">
        <f t="shared" si="2"/>
        <v>12083.312382042192</v>
      </c>
      <c r="G7" s="110">
        <f t="shared" si="2"/>
        <v>12232.575546684233</v>
      </c>
      <c r="H7" s="110">
        <f t="shared" si="2"/>
        <v>12380.488338890531</v>
      </c>
      <c r="I7" s="110">
        <f t="shared" si="2"/>
        <v>12527.321555344948</v>
      </c>
      <c r="J7" s="110">
        <f t="shared" si="2"/>
        <v>12673.320270657357</v>
      </c>
      <c r="K7" s="110">
        <f t="shared" si="2"/>
        <v>12818.706423146996</v>
      </c>
      <c r="L7" s="110">
        <f t="shared" si="2"/>
        <v>12963.681142183223</v>
      </c>
    </row>
    <row r="8" spans="1:12" x14ac:dyDescent="0.2">
      <c r="A8" s="108" t="s">
        <v>199</v>
      </c>
      <c r="B8" s="109">
        <f>'Truck Stock'!AG34</f>
        <v>11341.799140632158</v>
      </c>
      <c r="C8" s="110">
        <f>B8-C10+(C12*C14)</f>
        <v>11411.885260644458</v>
      </c>
      <c r="D8" s="110">
        <f t="shared" ref="D8:L8" si="3">C8-D10+(D12*D14)</f>
        <v>11487.005428996281</v>
      </c>
      <c r="E8" s="110">
        <f t="shared" si="3"/>
        <v>11566.776667457085</v>
      </c>
      <c r="F8" s="110">
        <f t="shared" si="3"/>
        <v>11650.855499885414</v>
      </c>
      <c r="G8" s="110">
        <f t="shared" si="3"/>
        <v>11738.93401406265</v>
      </c>
      <c r="H8" s="110">
        <f t="shared" si="3"/>
        <v>11830.736317463819</v>
      </c>
      <c r="I8" s="110">
        <f t="shared" si="3"/>
        <v>11926.015347572949</v>
      </c>
      <c r="J8" s="110">
        <f t="shared" si="3"/>
        <v>12024.550001289719</v>
      </c>
      <c r="K8" s="110">
        <f t="shared" si="3"/>
        <v>12126.142551519553</v>
      </c>
      <c r="L8" s="110">
        <f t="shared" si="3"/>
        <v>12230.616322229991</v>
      </c>
    </row>
    <row r="9" spans="1:12" x14ac:dyDescent="0.2">
      <c r="A9" s="73" t="s">
        <v>200</v>
      </c>
      <c r="B9" s="74">
        <f>'Car stock'!AF16*retirerate</f>
        <v>1187.2486740499278</v>
      </c>
      <c r="C9" s="74">
        <f t="shared" ref="C9:L9" si="4">B7*retirerate</f>
        <v>1146.6269686555627</v>
      </c>
      <c r="D9" s="74">
        <f t="shared" si="4"/>
        <v>1162.4264254815205</v>
      </c>
      <c r="E9" s="74">
        <f t="shared" si="4"/>
        <v>1177.9505581617977</v>
      </c>
      <c r="F9" s="74">
        <f t="shared" si="4"/>
        <v>1193.2399453263315</v>
      </c>
      <c r="G9" s="74">
        <f t="shared" si="4"/>
        <v>1208.3312382042193</v>
      </c>
      <c r="H9" s="74">
        <f t="shared" si="4"/>
        <v>1223.2575546684234</v>
      </c>
      <c r="I9" s="74">
        <f t="shared" si="4"/>
        <v>1238.0488338890532</v>
      </c>
      <c r="J9" s="74">
        <f t="shared" si="4"/>
        <v>1252.732155534495</v>
      </c>
      <c r="K9" s="74">
        <f t="shared" si="4"/>
        <v>1267.3320270657359</v>
      </c>
      <c r="L9" s="74">
        <f t="shared" si="4"/>
        <v>1281.8706423146996</v>
      </c>
    </row>
    <row r="10" spans="1:12" x14ac:dyDescent="0.2">
      <c r="A10" s="73" t="s">
        <v>201</v>
      </c>
      <c r="B10" s="74">
        <f>pltretire*'Truck Stock'!AF34</f>
        <v>1078.173874667257</v>
      </c>
      <c r="C10" s="75">
        <f t="shared" ref="C10:L10" si="5">B8*pltretire</f>
        <v>1134.1799140632158</v>
      </c>
      <c r="D10" s="75">
        <f t="shared" si="5"/>
        <v>1141.1885260644458</v>
      </c>
      <c r="E10" s="75">
        <f t="shared" si="5"/>
        <v>1148.7005428996281</v>
      </c>
      <c r="F10" s="75">
        <f t="shared" si="5"/>
        <v>1156.6776667457086</v>
      </c>
      <c r="G10" s="75">
        <f t="shared" si="5"/>
        <v>1165.0855499885415</v>
      </c>
      <c r="H10" s="75">
        <f t="shared" si="5"/>
        <v>1173.893401406265</v>
      </c>
      <c r="I10" s="75">
        <f t="shared" si="5"/>
        <v>1183.073631746382</v>
      </c>
      <c r="J10" s="75">
        <f t="shared" si="5"/>
        <v>1192.601534757295</v>
      </c>
      <c r="K10" s="75">
        <f t="shared" si="5"/>
        <v>1202.455000128972</v>
      </c>
      <c r="L10" s="75">
        <f t="shared" si="5"/>
        <v>1212.6142551519554</v>
      </c>
    </row>
    <row r="11" spans="1:12" x14ac:dyDescent="0.2">
      <c r="A11" s="76" t="s">
        <v>202</v>
      </c>
      <c r="B11" s="77">
        <f>B6-('Car stock'!AF16+'Truck Stock'!AF34)</f>
        <v>153.84334001593743</v>
      </c>
      <c r="C11" s="77">
        <f>C6-B6</f>
        <v>228.0806882718789</v>
      </c>
      <c r="D11" s="77">
        <f t="shared" ref="D11:L11" si="6">D6-C6</f>
        <v>230.36149515459692</v>
      </c>
      <c r="E11" s="77">
        <f t="shared" si="6"/>
        <v>232.6651101061434</v>
      </c>
      <c r="F11" s="77">
        <f t="shared" si="6"/>
        <v>234.99176120720585</v>
      </c>
      <c r="G11" s="77">
        <f t="shared" si="6"/>
        <v>237.34167881927715</v>
      </c>
      <c r="H11" s="77">
        <f t="shared" si="6"/>
        <v>239.71509560746927</v>
      </c>
      <c r="I11" s="77">
        <f t="shared" si="6"/>
        <v>242.11224656354534</v>
      </c>
      <c r="J11" s="77">
        <f t="shared" si="6"/>
        <v>244.5333690291809</v>
      </c>
      <c r="K11" s="77">
        <f t="shared" si="6"/>
        <v>246.97870271947249</v>
      </c>
      <c r="L11" s="77">
        <f t="shared" si="6"/>
        <v>249.44848974666456</v>
      </c>
    </row>
    <row r="12" spans="1:12" x14ac:dyDescent="0.2">
      <c r="A12" s="78" t="s">
        <v>203</v>
      </c>
      <c r="B12" s="79">
        <f>B9+B10+B11</f>
        <v>2419.2658887331222</v>
      </c>
      <c r="C12" s="79">
        <f t="shared" ref="C12:L12" si="7">C9+C10+C11</f>
        <v>2508.8875709906574</v>
      </c>
      <c r="D12" s="79">
        <f t="shared" si="7"/>
        <v>2533.9764467005634</v>
      </c>
      <c r="E12" s="79">
        <f t="shared" si="7"/>
        <v>2559.3162111675692</v>
      </c>
      <c r="F12" s="79">
        <f t="shared" si="7"/>
        <v>2584.9093732792462</v>
      </c>
      <c r="G12" s="79">
        <f t="shared" si="7"/>
        <v>2610.7584670120377</v>
      </c>
      <c r="H12" s="79">
        <f t="shared" si="7"/>
        <v>2636.8660516821574</v>
      </c>
      <c r="I12" s="79">
        <f t="shared" si="7"/>
        <v>2663.2347121989806</v>
      </c>
      <c r="J12" s="79">
        <f t="shared" si="7"/>
        <v>2689.8670593209708</v>
      </c>
      <c r="K12" s="79">
        <f t="shared" si="7"/>
        <v>2716.7657299141802</v>
      </c>
      <c r="L12" s="79">
        <f t="shared" si="7"/>
        <v>2743.9333872133193</v>
      </c>
    </row>
    <row r="13" spans="1:12" x14ac:dyDescent="0.2">
      <c r="A13" s="69" t="s">
        <v>89</v>
      </c>
      <c r="B13" s="46">
        <f>'The Low Carbon Scenario'!G3</f>
        <v>0.52</v>
      </c>
      <c r="C13" s="46">
        <f>'The Low Carbon Scenario'!H3</f>
        <v>0.52</v>
      </c>
      <c r="D13" s="46">
        <f>'The Low Carbon Scenario'!I3</f>
        <v>0.52</v>
      </c>
      <c r="E13" s="46">
        <f>'The Low Carbon Scenario'!J3</f>
        <v>0.52</v>
      </c>
      <c r="F13" s="46">
        <f>'The Low Carbon Scenario'!K3</f>
        <v>0.52</v>
      </c>
      <c r="G13" s="46">
        <f>'The Low Carbon Scenario'!L3</f>
        <v>0.52</v>
      </c>
      <c r="H13" s="46">
        <f>'The Low Carbon Scenario'!M3</f>
        <v>0.52</v>
      </c>
      <c r="I13" s="46">
        <f>'The Low Carbon Scenario'!N3</f>
        <v>0.52</v>
      </c>
      <c r="J13" s="46">
        <f>'The Low Carbon Scenario'!O3</f>
        <v>0.52</v>
      </c>
      <c r="K13" s="46">
        <f>'The Low Carbon Scenario'!P3</f>
        <v>0.52</v>
      </c>
      <c r="L13" s="46">
        <f>'The Low Carbon Scenario'!Q3</f>
        <v>0.52</v>
      </c>
    </row>
    <row r="14" spans="1:12" x14ac:dyDescent="0.2">
      <c r="A14" s="69" t="s">
        <v>90</v>
      </c>
      <c r="B14" s="46">
        <f>'The Low Carbon Scenario'!G4</f>
        <v>0.48</v>
      </c>
      <c r="C14" s="46">
        <f>'The Low Carbon Scenario'!H4</f>
        <v>0.48</v>
      </c>
      <c r="D14" s="46">
        <f>'The Low Carbon Scenario'!I4</f>
        <v>0.48</v>
      </c>
      <c r="E14" s="46">
        <f>'The Low Carbon Scenario'!J4</f>
        <v>0.48</v>
      </c>
      <c r="F14" s="46">
        <f>'The Low Carbon Scenario'!K4</f>
        <v>0.48</v>
      </c>
      <c r="G14" s="46">
        <f>'The Low Carbon Scenario'!L4</f>
        <v>0.48</v>
      </c>
      <c r="H14" s="46">
        <f>'The Low Carbon Scenario'!M4</f>
        <v>0.48</v>
      </c>
      <c r="I14" s="46">
        <f>'The Low Carbon Scenario'!N4</f>
        <v>0.48</v>
      </c>
      <c r="J14" s="46">
        <f>'The Low Carbon Scenario'!O4</f>
        <v>0.48</v>
      </c>
      <c r="K14" s="46">
        <f>'The Low Carbon Scenario'!P4</f>
        <v>0.48</v>
      </c>
      <c r="L14" s="46">
        <f>'The Low Carbon Scenario'!Q4</f>
        <v>0.48</v>
      </c>
    </row>
    <row r="15" spans="1:12" x14ac:dyDescent="0.2">
      <c r="A15" s="69" t="s">
        <v>91</v>
      </c>
      <c r="B15" s="46">
        <f>'The Low Carbon Scenario'!G5</f>
        <v>3.5999999999999997E-2</v>
      </c>
      <c r="C15" s="46">
        <f>'The Low Carbon Scenario'!H5</f>
        <v>0.08</v>
      </c>
      <c r="D15" s="46">
        <f>'The Low Carbon Scenario'!I5</f>
        <v>0.15</v>
      </c>
      <c r="E15" s="46">
        <f>'The Low Carbon Scenario'!J5</f>
        <v>0.2</v>
      </c>
      <c r="F15" s="46">
        <f>'The Low Carbon Scenario'!K5</f>
        <v>0.25</v>
      </c>
      <c r="G15" s="46">
        <f>'The Low Carbon Scenario'!L5</f>
        <v>0.35</v>
      </c>
      <c r="H15" s="46">
        <f>'The Low Carbon Scenario'!M5</f>
        <v>0.45</v>
      </c>
      <c r="I15" s="46">
        <f>'The Low Carbon Scenario'!N5</f>
        <v>0.55000000000000004</v>
      </c>
      <c r="J15" s="46">
        <f>'The Low Carbon Scenario'!O5</f>
        <v>0.65</v>
      </c>
      <c r="K15" s="46">
        <f>'The Low Carbon Scenario'!P5</f>
        <v>0.85</v>
      </c>
      <c r="L15" s="46">
        <f>'The Low Carbon Scenario'!Q5</f>
        <v>1</v>
      </c>
    </row>
    <row r="16" spans="1:12" x14ac:dyDescent="0.2">
      <c r="A16" s="69" t="s">
        <v>98</v>
      </c>
      <c r="B16" s="46">
        <f>'The Low Carbon Scenario'!G6</f>
        <v>0.01</v>
      </c>
      <c r="C16" s="46">
        <f>'The Low Carbon Scenario'!H6</f>
        <v>0.04</v>
      </c>
      <c r="D16" s="46">
        <f>'The Low Carbon Scenario'!I6</f>
        <v>0.1</v>
      </c>
      <c r="E16" s="46">
        <f>'The Low Carbon Scenario'!J6</f>
        <v>0.15</v>
      </c>
      <c r="F16" s="46">
        <f>'The Low Carbon Scenario'!K6</f>
        <v>0.2</v>
      </c>
      <c r="G16" s="46">
        <f>'The Low Carbon Scenario'!L6</f>
        <v>0.25</v>
      </c>
      <c r="H16" s="46">
        <f>'The Low Carbon Scenario'!M6</f>
        <v>0.3</v>
      </c>
      <c r="I16" s="46">
        <f>'The Low Carbon Scenario'!N6</f>
        <v>0.3</v>
      </c>
      <c r="J16" s="46">
        <f>'The Low Carbon Scenario'!O6</f>
        <v>0.25</v>
      </c>
      <c r="K16" s="46">
        <f>'The Low Carbon Scenario'!P6</f>
        <v>0.15</v>
      </c>
      <c r="L16" s="46">
        <f>'The Low Carbon Scenario'!Q6</f>
        <v>0</v>
      </c>
    </row>
    <row r="17" spans="1:12" x14ac:dyDescent="0.2">
      <c r="A17" s="69" t="s">
        <v>92</v>
      </c>
      <c r="B17" s="46">
        <f>'The Low Carbon Scenario'!G7</f>
        <v>0.01</v>
      </c>
      <c r="C17" s="46">
        <f>'The Low Carbon Scenario'!H7</f>
        <v>0.05</v>
      </c>
      <c r="D17" s="46">
        <f>'The Low Carbon Scenario'!I7</f>
        <v>0.1</v>
      </c>
      <c r="E17" s="46">
        <f>'The Low Carbon Scenario'!J7</f>
        <v>0.15</v>
      </c>
      <c r="F17" s="46">
        <f>'The Low Carbon Scenario'!K7</f>
        <v>0.2</v>
      </c>
      <c r="G17" s="46">
        <f>'The Low Carbon Scenario'!L7</f>
        <v>0.3</v>
      </c>
      <c r="H17" s="46">
        <f>'The Low Carbon Scenario'!M7</f>
        <v>0.4</v>
      </c>
      <c r="I17" s="46">
        <f>'The Low Carbon Scenario'!N7</f>
        <v>0.5</v>
      </c>
      <c r="J17" s="46">
        <f>'The Low Carbon Scenario'!O7</f>
        <v>0.6</v>
      </c>
      <c r="K17" s="46">
        <f>'The Low Carbon Scenario'!P7</f>
        <v>0.85</v>
      </c>
      <c r="L17" s="46">
        <f>'The Low Carbon Scenario'!Q7</f>
        <v>1</v>
      </c>
    </row>
    <row r="18" spans="1:12" x14ac:dyDescent="0.2">
      <c r="A18" s="69" t="s">
        <v>97</v>
      </c>
      <c r="B18" s="46">
        <f>'The Low Carbon Scenario'!G8</f>
        <v>0.01</v>
      </c>
      <c r="C18" s="46">
        <f>'The Low Carbon Scenario'!H8</f>
        <v>0.04</v>
      </c>
      <c r="D18" s="46">
        <f>'The Low Carbon Scenario'!I8</f>
        <v>0.08</v>
      </c>
      <c r="E18" s="46">
        <f>'The Low Carbon Scenario'!J8</f>
        <v>0.15</v>
      </c>
      <c r="F18" s="46">
        <f>'The Low Carbon Scenario'!K8</f>
        <v>0.2</v>
      </c>
      <c r="G18" s="46">
        <f>'The Low Carbon Scenario'!L8</f>
        <v>0.2</v>
      </c>
      <c r="H18" s="46">
        <f>'The Low Carbon Scenario'!M8</f>
        <v>0.25</v>
      </c>
      <c r="I18" s="46">
        <f>'The Low Carbon Scenario'!N8</f>
        <v>0.3</v>
      </c>
      <c r="J18" s="46">
        <f>'The Low Carbon Scenario'!O8</f>
        <v>0.3</v>
      </c>
      <c r="K18" s="46">
        <f>'The Low Carbon Scenario'!P8</f>
        <v>0.15</v>
      </c>
      <c r="L18" s="46">
        <f>'The Low Carbon Scenario'!Q8</f>
        <v>0</v>
      </c>
    </row>
    <row r="19" spans="1:12" x14ac:dyDescent="0.2">
      <c r="A19" s="69" t="s">
        <v>99</v>
      </c>
      <c r="B19" s="206">
        <v>0.5</v>
      </c>
      <c r="C19" s="206">
        <v>0.5</v>
      </c>
      <c r="D19" s="206">
        <v>0.5</v>
      </c>
      <c r="E19" s="206">
        <v>0.5</v>
      </c>
      <c r="F19" s="206">
        <v>0.5</v>
      </c>
      <c r="G19" s="206">
        <v>0.5</v>
      </c>
      <c r="H19" s="206">
        <v>0.5</v>
      </c>
      <c r="I19" s="206">
        <v>0.5</v>
      </c>
      <c r="J19" s="206">
        <v>0.5</v>
      </c>
      <c r="K19" s="206">
        <v>0.5</v>
      </c>
      <c r="L19" s="206">
        <v>0.5</v>
      </c>
    </row>
    <row r="20" spans="1:12" x14ac:dyDescent="0.2">
      <c r="A20" s="69" t="s">
        <v>204</v>
      </c>
      <c r="B20" s="207">
        <f>B$12*B13*(B15+B16*B17)</f>
        <v>45.414459263298177</v>
      </c>
      <c r="C20" s="207">
        <f t="shared" ref="C20:L20" si="8">C$12*C13*(C15+C16*C17)</f>
        <v>106.97896602704164</v>
      </c>
      <c r="D20" s="207">
        <f t="shared" si="8"/>
        <v>210.8268403654869</v>
      </c>
      <c r="E20" s="207">
        <f t="shared" si="8"/>
        <v>296.1128856320878</v>
      </c>
      <c r="F20" s="207">
        <f t="shared" si="8"/>
        <v>389.80433349051043</v>
      </c>
      <c r="G20" s="207">
        <f t="shared" si="8"/>
        <v>576.97762120966036</v>
      </c>
      <c r="H20" s="207">
        <f t="shared" si="8"/>
        <v>781.56709771859153</v>
      </c>
      <c r="I20" s="207">
        <f t="shared" si="8"/>
        <v>969.41743524042909</v>
      </c>
      <c r="J20" s="207">
        <f t="shared" si="8"/>
        <v>1118.984696677524</v>
      </c>
      <c r="K20" s="207">
        <f t="shared" si="8"/>
        <v>1380.9320205153779</v>
      </c>
      <c r="L20" s="207">
        <f t="shared" si="8"/>
        <v>1426.8453613509262</v>
      </c>
    </row>
    <row r="21" spans="1:12" x14ac:dyDescent="0.2">
      <c r="A21" s="69" t="s">
        <v>205</v>
      </c>
      <c r="B21" s="207">
        <f>B$12*B14*(B17+B19*B18)</f>
        <v>17.418714398878478</v>
      </c>
      <c r="C21" s="207">
        <f t="shared" ref="C21:L21" si="9">C$12*C14*(C17+C19*C18)</f>
        <v>84.298622385286095</v>
      </c>
      <c r="D21" s="207">
        <f t="shared" si="9"/>
        <v>170.28321721827785</v>
      </c>
      <c r="E21" s="207">
        <f t="shared" si="9"/>
        <v>276.40615080609746</v>
      </c>
      <c r="F21" s="207">
        <f t="shared" si="9"/>
        <v>372.22694975221145</v>
      </c>
      <c r="G21" s="207">
        <f t="shared" si="9"/>
        <v>501.26562566631122</v>
      </c>
      <c r="H21" s="207">
        <f t="shared" si="9"/>
        <v>664.49024502390364</v>
      </c>
      <c r="I21" s="207">
        <f t="shared" si="9"/>
        <v>830.92923020608191</v>
      </c>
      <c r="J21" s="207">
        <f t="shared" si="9"/>
        <v>968.35214135554941</v>
      </c>
      <c r="K21" s="207">
        <f t="shared" si="9"/>
        <v>1206.2439840818959</v>
      </c>
      <c r="L21" s="207">
        <f t="shared" si="9"/>
        <v>1317.0880258623931</v>
      </c>
    </row>
    <row r="22" spans="1:12" x14ac:dyDescent="0.2">
      <c r="A22" s="69" t="s">
        <v>206</v>
      </c>
      <c r="B22" s="70">
        <v>30</v>
      </c>
      <c r="C22" s="71">
        <f t="shared" ref="C22:L22" si="10">B22*(1-retirerate)+C20</f>
        <v>133.97896602704162</v>
      </c>
      <c r="D22" s="71">
        <f t="shared" si="10"/>
        <v>331.40790978982437</v>
      </c>
      <c r="E22" s="71">
        <f t="shared" si="10"/>
        <v>594.3800044429297</v>
      </c>
      <c r="F22" s="71">
        <f t="shared" si="10"/>
        <v>924.74633748914721</v>
      </c>
      <c r="G22" s="71">
        <f t="shared" si="10"/>
        <v>1409.249324949893</v>
      </c>
      <c r="H22" s="71">
        <f t="shared" si="10"/>
        <v>2049.8914901734952</v>
      </c>
      <c r="I22" s="71">
        <f t="shared" si="10"/>
        <v>2814.3197763965745</v>
      </c>
      <c r="J22" s="71">
        <f t="shared" si="10"/>
        <v>3651.8724954344411</v>
      </c>
      <c r="K22" s="71">
        <f t="shared" si="10"/>
        <v>4667.6172664063752</v>
      </c>
      <c r="L22" s="71">
        <f t="shared" si="10"/>
        <v>5627.7009011166638</v>
      </c>
    </row>
    <row r="23" spans="1:12" x14ac:dyDescent="0.2">
      <c r="A23" s="69" t="s">
        <v>207</v>
      </c>
      <c r="B23" s="70">
        <v>1</v>
      </c>
      <c r="C23" s="71">
        <f t="shared" ref="C23:L23" si="11">B23*(1-pltretire)+C21</f>
        <v>85.1986223852861</v>
      </c>
      <c r="D23" s="71">
        <f t="shared" si="11"/>
        <v>246.96197736503535</v>
      </c>
      <c r="E23" s="71">
        <f t="shared" si="11"/>
        <v>498.6719304346293</v>
      </c>
      <c r="F23" s="71">
        <f t="shared" si="11"/>
        <v>821.03168714337789</v>
      </c>
      <c r="G23" s="71">
        <f t="shared" si="11"/>
        <v>1240.1941440953512</v>
      </c>
      <c r="H23" s="71">
        <f t="shared" si="11"/>
        <v>1780.6649747097199</v>
      </c>
      <c r="I23" s="71">
        <f t="shared" si="11"/>
        <v>2433.52770744483</v>
      </c>
      <c r="J23" s="71">
        <f t="shared" si="11"/>
        <v>3158.5270780558967</v>
      </c>
      <c r="K23" s="71">
        <f t="shared" si="11"/>
        <v>4048.9183543322033</v>
      </c>
      <c r="L23" s="71">
        <f t="shared" si="11"/>
        <v>4961.1145447613762</v>
      </c>
    </row>
    <row r="24" spans="1:12" x14ac:dyDescent="0.2">
      <c r="A24" s="69" t="s">
        <v>208</v>
      </c>
      <c r="B24" s="71">
        <f>B22+B23</f>
        <v>31</v>
      </c>
      <c r="C24" s="71">
        <f t="shared" ref="C24:L24" si="12">C22+C23</f>
        <v>219.17758841232774</v>
      </c>
      <c r="D24" s="71">
        <f t="shared" si="12"/>
        <v>578.36988715485973</v>
      </c>
      <c r="E24" s="71">
        <f t="shared" si="12"/>
        <v>1093.051934877559</v>
      </c>
      <c r="F24" s="71">
        <f t="shared" si="12"/>
        <v>1745.7780246325251</v>
      </c>
      <c r="G24" s="71">
        <f t="shared" si="12"/>
        <v>2649.4434690452445</v>
      </c>
      <c r="H24" s="71">
        <f t="shared" si="12"/>
        <v>3830.5564648832151</v>
      </c>
      <c r="I24" s="71">
        <f t="shared" si="12"/>
        <v>5247.847483841404</v>
      </c>
      <c r="J24" s="71">
        <f t="shared" si="12"/>
        <v>6810.3995734903383</v>
      </c>
      <c r="K24" s="71">
        <f t="shared" si="12"/>
        <v>8716.5356207385776</v>
      </c>
      <c r="L24" s="71">
        <f t="shared" si="12"/>
        <v>10588.815445878041</v>
      </c>
    </row>
    <row r="25" spans="1:12" x14ac:dyDescent="0.2">
      <c r="A25" s="69" t="s">
        <v>93</v>
      </c>
      <c r="B25" s="72">
        <f t="shared" ref="B25:L25" si="13">B24/B6</f>
        <v>1.3591681187425755E-3</v>
      </c>
      <c r="C25" s="72">
        <f t="shared" si="13"/>
        <v>9.5145062444240806E-3</v>
      </c>
      <c r="D25" s="72">
        <f t="shared" si="13"/>
        <v>2.4858470910872947E-2</v>
      </c>
      <c r="E25" s="72">
        <f t="shared" si="13"/>
        <v>4.6514479029490748E-2</v>
      </c>
      <c r="F25" s="72">
        <f t="shared" si="13"/>
        <v>7.355547636291257E-2</v>
      </c>
      <c r="G25" s="72">
        <f t="shared" si="13"/>
        <v>0.11052468190754587</v>
      </c>
      <c r="H25" s="72">
        <f t="shared" si="13"/>
        <v>0.15821407298692206</v>
      </c>
      <c r="I25" s="72">
        <f t="shared" si="13"/>
        <v>0.21460659969131671</v>
      </c>
      <c r="J25" s="72">
        <f t="shared" si="13"/>
        <v>0.2757484551704803</v>
      </c>
      <c r="K25" s="72">
        <f t="shared" si="13"/>
        <v>0.34943228678557653</v>
      </c>
      <c r="L25" s="72">
        <f t="shared" si="13"/>
        <v>0.42028619614556323</v>
      </c>
    </row>
    <row r="28" spans="1:12" x14ac:dyDescent="0.2">
      <c r="A28" s="68" t="s">
        <v>58</v>
      </c>
      <c r="B28" s="40"/>
      <c r="C28" s="40"/>
      <c r="D28" s="40"/>
      <c r="E28" s="40"/>
      <c r="F28" s="40"/>
      <c r="G28" s="40"/>
      <c r="H28" s="40"/>
      <c r="I28" s="40"/>
      <c r="J28" s="40"/>
      <c r="K28" s="40"/>
      <c r="L28" s="40"/>
    </row>
    <row r="29" spans="1:12" x14ac:dyDescent="0.2">
      <c r="A29" s="68" t="s">
        <v>59</v>
      </c>
      <c r="B29" s="63">
        <v>30000</v>
      </c>
      <c r="C29" s="63">
        <v>30000</v>
      </c>
      <c r="D29" s="63">
        <v>30000</v>
      </c>
      <c r="E29" s="63">
        <v>30000</v>
      </c>
      <c r="F29" s="63">
        <v>30000</v>
      </c>
      <c r="G29" s="63">
        <v>30000</v>
      </c>
      <c r="H29" s="63">
        <v>30000</v>
      </c>
      <c r="I29" s="63">
        <v>30000</v>
      </c>
      <c r="J29" s="63">
        <v>30000</v>
      </c>
      <c r="K29" s="63">
        <v>30000</v>
      </c>
      <c r="L29" s="63">
        <v>30000</v>
      </c>
    </row>
    <row r="30" spans="1:12" x14ac:dyDescent="0.2">
      <c r="A30" s="60"/>
    </row>
    <row r="31" spans="1:12" x14ac:dyDescent="0.2">
      <c r="A31" s="316" t="s">
        <v>212</v>
      </c>
      <c r="B31" s="40"/>
      <c r="C31" s="40"/>
      <c r="D31" s="40"/>
      <c r="E31" s="40"/>
      <c r="F31" s="40"/>
      <c r="G31" s="40"/>
      <c r="H31" s="40"/>
      <c r="I31" s="40"/>
      <c r="J31" s="40"/>
      <c r="K31" s="40"/>
    </row>
    <row r="32" spans="1:12" x14ac:dyDescent="0.2">
      <c r="A32" s="61" t="s">
        <v>6</v>
      </c>
      <c r="B32" s="57">
        <f t="shared" ref="B32:K32" si="14">B7</f>
        <v>11466.269686555626</v>
      </c>
      <c r="C32" s="57">
        <f t="shared" si="14"/>
        <v>11624.264254815205</v>
      </c>
      <c r="D32" s="57">
        <f t="shared" si="14"/>
        <v>11779.505581617977</v>
      </c>
      <c r="E32" s="57">
        <f t="shared" si="14"/>
        <v>11932.399453263315</v>
      </c>
      <c r="F32" s="57">
        <f t="shared" si="14"/>
        <v>12083.312382042192</v>
      </c>
      <c r="G32" s="57">
        <f t="shared" si="14"/>
        <v>12232.575546684233</v>
      </c>
      <c r="H32" s="57">
        <f t="shared" si="14"/>
        <v>12380.488338890531</v>
      </c>
      <c r="I32" s="57">
        <f t="shared" si="14"/>
        <v>12527.321555344948</v>
      </c>
      <c r="J32" s="57">
        <f t="shared" si="14"/>
        <v>12673.320270657357</v>
      </c>
      <c r="K32" s="57">
        <f t="shared" si="14"/>
        <v>12818.706423146996</v>
      </c>
    </row>
    <row r="33" spans="1:12" x14ac:dyDescent="0.2">
      <c r="A33" s="61" t="s">
        <v>61</v>
      </c>
      <c r="B33" s="57">
        <f t="shared" ref="B33:K33" si="15">B8</f>
        <v>11341.799140632158</v>
      </c>
      <c r="C33" s="57">
        <f t="shared" si="15"/>
        <v>11411.885260644458</v>
      </c>
      <c r="D33" s="57">
        <f t="shared" si="15"/>
        <v>11487.005428996281</v>
      </c>
      <c r="E33" s="57">
        <f t="shared" si="15"/>
        <v>11566.776667457085</v>
      </c>
      <c r="F33" s="57">
        <f t="shared" si="15"/>
        <v>11650.855499885414</v>
      </c>
      <c r="G33" s="57">
        <f t="shared" si="15"/>
        <v>11738.93401406265</v>
      </c>
      <c r="H33" s="57">
        <f t="shared" si="15"/>
        <v>11830.736317463819</v>
      </c>
      <c r="I33" s="57">
        <f t="shared" si="15"/>
        <v>11926.015347572949</v>
      </c>
      <c r="J33" s="57">
        <f t="shared" si="15"/>
        <v>12024.550001289719</v>
      </c>
      <c r="K33" s="57">
        <f t="shared" si="15"/>
        <v>12126.142551519553</v>
      </c>
    </row>
    <row r="34" spans="1:12" x14ac:dyDescent="0.2">
      <c r="A34" s="61" t="s">
        <v>64</v>
      </c>
      <c r="B34" s="57">
        <f>B22</f>
        <v>30</v>
      </c>
      <c r="C34" s="57">
        <f t="shared" ref="C34:K34" si="16">C22</f>
        <v>133.97896602704162</v>
      </c>
      <c r="D34" s="57">
        <f t="shared" si="16"/>
        <v>331.40790978982437</v>
      </c>
      <c r="E34" s="57">
        <f t="shared" si="16"/>
        <v>594.3800044429297</v>
      </c>
      <c r="F34" s="57">
        <f t="shared" si="16"/>
        <v>924.74633748914721</v>
      </c>
      <c r="G34" s="57">
        <f t="shared" si="16"/>
        <v>1409.249324949893</v>
      </c>
      <c r="H34" s="57">
        <f t="shared" si="16"/>
        <v>2049.8914901734952</v>
      </c>
      <c r="I34" s="57">
        <f t="shared" si="16"/>
        <v>2814.3197763965745</v>
      </c>
      <c r="J34" s="57">
        <f t="shared" si="16"/>
        <v>3651.8724954344411</v>
      </c>
      <c r="K34" s="57">
        <f t="shared" si="16"/>
        <v>4667.6172664063752</v>
      </c>
    </row>
    <row r="35" spans="1:12" x14ac:dyDescent="0.2">
      <c r="A35" s="61" t="s">
        <v>65</v>
      </c>
      <c r="B35" s="57">
        <f>B23</f>
        <v>1</v>
      </c>
      <c r="C35" s="57">
        <f t="shared" ref="C35:K35" si="17">C23</f>
        <v>85.1986223852861</v>
      </c>
      <c r="D35" s="57">
        <f t="shared" si="17"/>
        <v>246.96197736503535</v>
      </c>
      <c r="E35" s="57">
        <f t="shared" si="17"/>
        <v>498.6719304346293</v>
      </c>
      <c r="F35" s="57">
        <f t="shared" si="17"/>
        <v>821.03168714337789</v>
      </c>
      <c r="G35" s="57">
        <f t="shared" si="17"/>
        <v>1240.1941440953512</v>
      </c>
      <c r="H35" s="57">
        <f t="shared" si="17"/>
        <v>1780.6649747097199</v>
      </c>
      <c r="I35" s="57">
        <f t="shared" si="17"/>
        <v>2433.52770744483</v>
      </c>
      <c r="J35" s="57">
        <f t="shared" si="17"/>
        <v>3158.5270780558967</v>
      </c>
      <c r="K35" s="57">
        <f t="shared" si="17"/>
        <v>4048.9183543322033</v>
      </c>
    </row>
    <row r="36" spans="1:12" x14ac:dyDescent="0.2">
      <c r="A36" s="61"/>
      <c r="B36" s="57"/>
      <c r="C36" s="57"/>
      <c r="D36" s="57"/>
      <c r="E36" s="57"/>
      <c r="F36" s="57"/>
      <c r="G36" s="57"/>
      <c r="H36" s="57"/>
      <c r="I36" s="57"/>
      <c r="J36" s="57"/>
      <c r="K36" s="57"/>
    </row>
    <row r="37" spans="1:12" x14ac:dyDescent="0.2">
      <c r="A37" s="61" t="s">
        <v>55</v>
      </c>
      <c r="B37" s="63">
        <f>B32+B33</f>
        <v>22808.068827187784</v>
      </c>
      <c r="C37" s="63">
        <f t="shared" ref="C37:K37" si="18">C32+C33</f>
        <v>23036.149515459663</v>
      </c>
      <c r="D37" s="63">
        <f t="shared" si="18"/>
        <v>23266.51101061426</v>
      </c>
      <c r="E37" s="63">
        <f t="shared" si="18"/>
        <v>23499.1761207204</v>
      </c>
      <c r="F37" s="63">
        <f t="shared" si="18"/>
        <v>23734.167881927606</v>
      </c>
      <c r="G37" s="63">
        <f t="shared" si="18"/>
        <v>23971.509560746883</v>
      </c>
      <c r="H37" s="63">
        <f t="shared" si="18"/>
        <v>24211.224656354352</v>
      </c>
      <c r="I37" s="63">
        <f t="shared" si="18"/>
        <v>24453.336902917898</v>
      </c>
      <c r="J37" s="63">
        <f t="shared" si="18"/>
        <v>24697.870271947075</v>
      </c>
      <c r="K37" s="63">
        <f t="shared" si="18"/>
        <v>24944.848974666551</v>
      </c>
    </row>
    <row r="38" spans="1:12" x14ac:dyDescent="0.2">
      <c r="A38" s="61" t="s">
        <v>85</v>
      </c>
      <c r="B38" s="40"/>
      <c r="C38" s="40"/>
      <c r="D38" s="40"/>
      <c r="E38" s="40"/>
      <c r="F38" s="40"/>
      <c r="G38" s="40"/>
      <c r="H38" s="40"/>
      <c r="I38" s="40"/>
      <c r="J38" s="40"/>
      <c r="K38" s="67">
        <f>(K37/B37)^(1/9)-1</f>
        <v>1.0000000000000009E-2</v>
      </c>
    </row>
    <row r="39" spans="1:12" x14ac:dyDescent="0.2">
      <c r="D39" s="41" t="s">
        <v>242</v>
      </c>
    </row>
    <row r="40" spans="1:12" ht="15.75" x14ac:dyDescent="0.2">
      <c r="A40" s="64" t="s">
        <v>94</v>
      </c>
      <c r="B40" s="41" t="s">
        <v>95</v>
      </c>
      <c r="C40" s="180" t="s">
        <v>50</v>
      </c>
      <c r="D40" s="41" t="s">
        <v>240</v>
      </c>
      <c r="E40" s="49" t="s">
        <v>248</v>
      </c>
      <c r="F40" s="50"/>
    </row>
    <row r="41" spans="1:12" x14ac:dyDescent="0.2">
      <c r="A41" s="41" t="s">
        <v>57</v>
      </c>
      <c r="B41" s="113">
        <f>'The Low Carbon Scenario'!B57</f>
        <v>0.1</v>
      </c>
      <c r="C41" s="48" t="s">
        <v>56</v>
      </c>
      <c r="D41" s="131">
        <f>'Car stock'!AH13</f>
        <v>-3.4214993271626026E-2</v>
      </c>
      <c r="E41" s="41" t="s">
        <v>243</v>
      </c>
      <c r="F41" s="102"/>
    </row>
    <row r="42" spans="1:12" x14ac:dyDescent="0.2">
      <c r="A42" s="58" t="s">
        <v>12</v>
      </c>
      <c r="B42" s="113">
        <f>'The Low Carbon Scenario'!C57</f>
        <v>0.1</v>
      </c>
      <c r="C42" s="44" t="s">
        <v>51</v>
      </c>
      <c r="D42" s="131">
        <f>'Truck Stock'!AH34</f>
        <v>5.1945275907602007E-2</v>
      </c>
      <c r="E42" s="41" t="s">
        <v>244</v>
      </c>
      <c r="F42" s="102"/>
    </row>
    <row r="43" spans="1:12" x14ac:dyDescent="0.2">
      <c r="A43" s="58" t="s">
        <v>13</v>
      </c>
      <c r="B43" s="127">
        <f>'The Low Carbon Scenario'!B65</f>
        <v>0.1</v>
      </c>
      <c r="C43" s="44" t="s">
        <v>52</v>
      </c>
      <c r="D43" s="131">
        <f>'The Low Carbon Scenario'!B64</f>
        <v>5.1999999999999998E-2</v>
      </c>
      <c r="E43" s="41" t="s">
        <v>245</v>
      </c>
      <c r="F43" s="102"/>
    </row>
    <row r="44" spans="1:12" x14ac:dyDescent="0.2">
      <c r="A44" s="58" t="s">
        <v>8</v>
      </c>
      <c r="B44" s="127">
        <f>'The Low Carbon Scenario'!C65</f>
        <v>7.4999999999999997E-2</v>
      </c>
      <c r="C44" s="44" t="s">
        <v>53</v>
      </c>
      <c r="D44" s="131">
        <f>'The Low Carbon Scenario'!C64</f>
        <v>4.2000000000000003E-2</v>
      </c>
      <c r="E44" s="41" t="s">
        <v>246</v>
      </c>
      <c r="F44" s="102"/>
    </row>
    <row r="45" spans="1:12" x14ac:dyDescent="0.2">
      <c r="A45" s="58" t="s">
        <v>9</v>
      </c>
      <c r="B45" s="127">
        <f>'The Low Carbon Scenario'!D65</f>
        <v>7.4999999999999997E-2</v>
      </c>
      <c r="C45" s="44" t="s">
        <v>54</v>
      </c>
      <c r="D45" s="131">
        <f>'The Low Carbon Scenario'!D64</f>
        <v>0.02</v>
      </c>
      <c r="E45" s="41" t="s">
        <v>247</v>
      </c>
      <c r="F45" s="102"/>
    </row>
    <row r="47" spans="1:12" ht="15" x14ac:dyDescent="0.25">
      <c r="A47" s="80" t="s">
        <v>84</v>
      </c>
      <c r="B47" s="40">
        <v>37.799999999999997</v>
      </c>
      <c r="C47" s="62">
        <v>38</v>
      </c>
      <c r="D47" s="62">
        <f t="shared" ref="D47:L47" si="19">C47*(1+$C$48)</f>
        <v>38.34896486736033</v>
      </c>
      <c r="E47" s="62">
        <f t="shared" si="19"/>
        <v>38.701134378895709</v>
      </c>
      <c r="F47" s="62">
        <f t="shared" si="19"/>
        <v>39.056537963770069</v>
      </c>
      <c r="G47" s="62">
        <f t="shared" si="19"/>
        <v>39.415205321403775</v>
      </c>
      <c r="H47" s="62">
        <f t="shared" si="19"/>
        <v>39.777166423955457</v>
      </c>
      <c r="I47" s="62">
        <f t="shared" si="19"/>
        <v>40.142451518826654</v>
      </c>
      <c r="J47" s="62">
        <f t="shared" si="19"/>
        <v>40.511091131189438</v>
      </c>
      <c r="K47" s="62">
        <f t="shared" si="19"/>
        <v>40.883116066537276</v>
      </c>
      <c r="L47" s="62">
        <f t="shared" si="19"/>
        <v>41.258557413259282</v>
      </c>
    </row>
    <row r="48" spans="1:12" x14ac:dyDescent="0.2">
      <c r="A48" s="66" t="s">
        <v>63</v>
      </c>
      <c r="B48" s="40"/>
      <c r="C48" s="67">
        <v>9.1832859831666447E-3</v>
      </c>
      <c r="D48" s="40"/>
      <c r="E48" s="40"/>
      <c r="F48" s="40"/>
      <c r="G48" s="40"/>
      <c r="H48" s="40"/>
      <c r="I48" s="40"/>
      <c r="J48" s="40"/>
      <c r="K48" s="40"/>
      <c r="L48" s="40"/>
    </row>
    <row r="49" spans="1:12" x14ac:dyDescent="0.2">
      <c r="A49" s="65" t="s">
        <v>86</v>
      </c>
      <c r="B49" s="81">
        <f t="shared" ref="B49:L49" si="20">B6/B47/1000</f>
        <v>0.60338806421131708</v>
      </c>
      <c r="C49" s="82">
        <f t="shared" si="20"/>
        <v>0.60621446093314901</v>
      </c>
      <c r="D49" s="81">
        <f t="shared" si="20"/>
        <v>0.60670505947389763</v>
      </c>
      <c r="E49" s="81">
        <f t="shared" si="20"/>
        <v>0.6071960550472868</v>
      </c>
      <c r="F49" s="81">
        <f t="shared" si="20"/>
        <v>0.60768744797462804</v>
      </c>
      <c r="G49" s="81">
        <f t="shared" si="20"/>
        <v>0.60817923857749268</v>
      </c>
      <c r="H49" s="81">
        <f t="shared" si="20"/>
        <v>0.6086714271777125</v>
      </c>
      <c r="I49" s="81">
        <f t="shared" si="20"/>
        <v>0.60916401409737964</v>
      </c>
      <c r="J49" s="81">
        <f t="shared" si="20"/>
        <v>0.60965699965884712</v>
      </c>
      <c r="K49" s="81">
        <f t="shared" si="20"/>
        <v>0.61015038418472822</v>
      </c>
      <c r="L49" s="81">
        <f t="shared" si="20"/>
        <v>0.610644167997898</v>
      </c>
    </row>
    <row r="50" spans="1:12" x14ac:dyDescent="0.2">
      <c r="A50" s="11"/>
    </row>
    <row r="51" spans="1:12" x14ac:dyDescent="0.2">
      <c r="A51" s="14"/>
    </row>
    <row r="52" spans="1:12" x14ac:dyDescent="0.2">
      <c r="A52" s="41" t="s">
        <v>213</v>
      </c>
      <c r="B52" s="107">
        <f>'The Low Carbon Scenario'!B60</f>
        <v>2500</v>
      </c>
      <c r="C52" s="63">
        <f t="shared" ref="C52:L52" si="21">B52*((1-premiumdecline))</f>
        <v>2325</v>
      </c>
      <c r="D52" s="63">
        <f t="shared" si="21"/>
        <v>2162.25</v>
      </c>
      <c r="E52" s="63">
        <f t="shared" si="21"/>
        <v>2010.8924999999999</v>
      </c>
      <c r="F52" s="63">
        <f t="shared" si="21"/>
        <v>1870.1300249999997</v>
      </c>
      <c r="G52" s="63">
        <f t="shared" si="21"/>
        <v>1739.2209232499997</v>
      </c>
      <c r="H52" s="63">
        <f t="shared" si="21"/>
        <v>1617.4754586224997</v>
      </c>
      <c r="I52" s="63">
        <f t="shared" si="21"/>
        <v>1504.2521765189247</v>
      </c>
      <c r="J52" s="63">
        <f t="shared" si="21"/>
        <v>1398.9545241625999</v>
      </c>
      <c r="K52" s="63">
        <f t="shared" si="21"/>
        <v>1301.0277074712178</v>
      </c>
      <c r="L52" s="63">
        <f t="shared" si="21"/>
        <v>1209.9557679482325</v>
      </c>
    </row>
    <row r="53" spans="1:12" x14ac:dyDescent="0.2">
      <c r="A53" s="41" t="s">
        <v>216</v>
      </c>
      <c r="B53" s="107">
        <f>'The Low Carbon Scenario'!C60</f>
        <v>15000</v>
      </c>
      <c r="C53" s="63">
        <f>B53*((1-suvpremiumdecline))</f>
        <v>13500</v>
      </c>
      <c r="D53" s="63">
        <f t="shared" ref="D53:L53" si="22">C53*((1-premiumdecline))</f>
        <v>12555</v>
      </c>
      <c r="E53" s="63">
        <f t="shared" si="22"/>
        <v>11676.15</v>
      </c>
      <c r="F53" s="63">
        <f t="shared" si="22"/>
        <v>10858.8195</v>
      </c>
      <c r="G53" s="63">
        <f t="shared" si="22"/>
        <v>10098.702135</v>
      </c>
      <c r="H53" s="63">
        <f t="shared" si="22"/>
        <v>9391.7929855499988</v>
      </c>
      <c r="I53" s="63">
        <f t="shared" si="22"/>
        <v>8734.3674765614978</v>
      </c>
      <c r="J53" s="63">
        <f t="shared" si="22"/>
        <v>8122.9617532021921</v>
      </c>
      <c r="K53" s="63">
        <f t="shared" si="22"/>
        <v>7554.354430478038</v>
      </c>
      <c r="L53" s="63">
        <f t="shared" si="22"/>
        <v>7025.5496203445746</v>
      </c>
    </row>
    <row r="54" spans="1:12" x14ac:dyDescent="0.2">
      <c r="A54" s="41" t="s">
        <v>214</v>
      </c>
      <c r="B54" s="111">
        <f>'The Low Carbon Scenario'!B61</f>
        <v>7.0000000000000007E-2</v>
      </c>
    </row>
    <row r="55" spans="1:12" x14ac:dyDescent="0.2">
      <c r="A55" s="49" t="s">
        <v>215</v>
      </c>
      <c r="B55" s="111">
        <f>'The Low Carbon Scenario'!C61</f>
        <v>0.1</v>
      </c>
    </row>
    <row r="57" spans="1:12" x14ac:dyDescent="0.2">
      <c r="A57" s="41" t="s">
        <v>195</v>
      </c>
      <c r="B57" s="63">
        <f>B52*B20/1000</f>
        <v>113.53614815824544</v>
      </c>
      <c r="C57" s="63">
        <f t="shared" ref="C57:L57" si="23">C52*C20/1000</f>
        <v>248.72609601287181</v>
      </c>
      <c r="D57" s="63">
        <f t="shared" si="23"/>
        <v>455.86033558027407</v>
      </c>
      <c r="E57" s="63">
        <f t="shared" si="23"/>
        <v>595.45118087092305</v>
      </c>
      <c r="F57" s="63">
        <f t="shared" si="23"/>
        <v>728.98478793571644</v>
      </c>
      <c r="G57" s="63">
        <f t="shared" si="23"/>
        <v>1003.4915510548541</v>
      </c>
      <c r="H57" s="63">
        <f t="shared" si="23"/>
        <v>1264.1655998266349</v>
      </c>
      <c r="I57" s="63">
        <f t="shared" si="23"/>
        <v>1458.2482869158091</v>
      </c>
      <c r="J57" s="63">
        <f t="shared" si="23"/>
        <v>1565.4087038857367</v>
      </c>
      <c r="K57" s="63">
        <f t="shared" si="23"/>
        <v>1796.6308208247187</v>
      </c>
      <c r="L57" s="63">
        <f t="shared" si="23"/>
        <v>1726.4197749367331</v>
      </c>
    </row>
    <row r="58" spans="1:12" x14ac:dyDescent="0.2">
      <c r="A58" s="41" t="s">
        <v>196</v>
      </c>
      <c r="B58" s="63">
        <f>B53*B21/1000</f>
        <v>261.28071598317717</v>
      </c>
      <c r="C58" s="63">
        <f t="shared" ref="C58:L58" si="24">C53*C21/1000</f>
        <v>1138.0314022013622</v>
      </c>
      <c r="D58" s="63">
        <f t="shared" si="24"/>
        <v>2137.9057921754784</v>
      </c>
      <c r="E58" s="63">
        <f t="shared" si="24"/>
        <v>3227.3596777346147</v>
      </c>
      <c r="F58" s="63">
        <f t="shared" si="24"/>
        <v>4041.9452603948339</v>
      </c>
      <c r="G58" s="63">
        <f t="shared" si="24"/>
        <v>5062.1322441184875</v>
      </c>
      <c r="H58" s="63">
        <f t="shared" si="24"/>
        <v>6240.7548221818979</v>
      </c>
      <c r="I58" s="63">
        <f t="shared" si="24"/>
        <v>7257.6412436362843</v>
      </c>
      <c r="J58" s="63">
        <f t="shared" si="24"/>
        <v>7865.8874078625704</v>
      </c>
      <c r="K58" s="63">
        <f t="shared" si="24"/>
        <v>9112.3945853865498</v>
      </c>
      <c r="L58" s="63">
        <f t="shared" si="24"/>
        <v>9253.2672800579221</v>
      </c>
    </row>
    <row r="59" spans="1:12" x14ac:dyDescent="0.2">
      <c r="A59" s="41" t="s">
        <v>232</v>
      </c>
      <c r="B59" s="63">
        <f>B57+B58</f>
        <v>374.81686414142263</v>
      </c>
      <c r="C59" s="63">
        <f t="shared" ref="C59:L59" si="25">C57+C58</f>
        <v>1386.7574982142339</v>
      </c>
      <c r="D59" s="63">
        <f t="shared" si="25"/>
        <v>2593.7661277557527</v>
      </c>
      <c r="E59" s="63">
        <f t="shared" si="25"/>
        <v>3822.8108586055378</v>
      </c>
      <c r="F59" s="63">
        <f t="shared" si="25"/>
        <v>4770.9300483305506</v>
      </c>
      <c r="G59" s="63">
        <f t="shared" si="25"/>
        <v>6065.6237951733419</v>
      </c>
      <c r="H59" s="63">
        <f t="shared" si="25"/>
        <v>7504.920422008533</v>
      </c>
      <c r="I59" s="63">
        <f t="shared" si="25"/>
        <v>8715.8895305520928</v>
      </c>
      <c r="J59" s="63">
        <f t="shared" si="25"/>
        <v>9431.2961117483064</v>
      </c>
      <c r="K59" s="63">
        <f t="shared" si="25"/>
        <v>10909.025406211269</v>
      </c>
      <c r="L59" s="63">
        <f t="shared" si="25"/>
        <v>10979.687054994654</v>
      </c>
    </row>
    <row r="63" spans="1:12" ht="25.5" x14ac:dyDescent="0.35">
      <c r="A63" s="124" t="s">
        <v>252</v>
      </c>
    </row>
    <row r="64" spans="1:12" ht="15" x14ac:dyDescent="0.25">
      <c r="A64" s="122" t="s">
        <v>253</v>
      </c>
      <c r="B64">
        <f t="shared" ref="B64:L64" si="26">B5</f>
        <v>2020</v>
      </c>
      <c r="C64">
        <f t="shared" si="26"/>
        <v>2021</v>
      </c>
      <c r="D64">
        <f t="shared" si="26"/>
        <v>2022</v>
      </c>
      <c r="E64">
        <f t="shared" si="26"/>
        <v>2023</v>
      </c>
      <c r="F64">
        <f t="shared" si="26"/>
        <v>2024</v>
      </c>
      <c r="G64">
        <f t="shared" si="26"/>
        <v>2025</v>
      </c>
      <c r="H64">
        <f t="shared" si="26"/>
        <v>2026</v>
      </c>
      <c r="I64">
        <f t="shared" si="26"/>
        <v>2027</v>
      </c>
      <c r="J64">
        <f t="shared" si="26"/>
        <v>2028</v>
      </c>
      <c r="K64">
        <f t="shared" si="26"/>
        <v>2029</v>
      </c>
      <c r="L64">
        <f t="shared" si="26"/>
        <v>2030</v>
      </c>
    </row>
    <row r="65" spans="1:12" x14ac:dyDescent="0.2">
      <c r="A65" s="41" t="s">
        <v>249</v>
      </c>
      <c r="B65" s="63">
        <f>'Truck Stock'!AG35</f>
        <v>3762.4231773175684</v>
      </c>
      <c r="C65" s="63">
        <f t="shared" ref="C65:L65" si="27">B65*(1+fltgrowth)</f>
        <v>3958.0691825380823</v>
      </c>
      <c r="D65" s="63">
        <f t="shared" si="27"/>
        <v>4163.8887800300627</v>
      </c>
      <c r="E65" s="63">
        <f t="shared" si="27"/>
        <v>4380.4109965916259</v>
      </c>
      <c r="F65" s="63">
        <f t="shared" si="27"/>
        <v>4608.1923684143903</v>
      </c>
      <c r="G65" s="63">
        <f t="shared" si="27"/>
        <v>4847.8183715719388</v>
      </c>
      <c r="H65" s="63">
        <f t="shared" si="27"/>
        <v>5099.9049268936797</v>
      </c>
      <c r="I65" s="63">
        <f t="shared" si="27"/>
        <v>5365.099983092151</v>
      </c>
      <c r="J65" s="63">
        <f t="shared" si="27"/>
        <v>5644.0851822129434</v>
      </c>
      <c r="K65" s="63">
        <f t="shared" si="27"/>
        <v>5937.577611688017</v>
      </c>
      <c r="L65" s="63">
        <f t="shared" si="27"/>
        <v>6246.3316474957937</v>
      </c>
    </row>
    <row r="66" spans="1:12" x14ac:dyDescent="0.2">
      <c r="A66" s="41" t="s">
        <v>250</v>
      </c>
      <c r="B66" s="63">
        <f>'Truck Stock'!AG36</f>
        <v>1893.5798665125683</v>
      </c>
      <c r="C66" s="63">
        <f t="shared" ref="C66:L66" si="28">B66*(1+mtgrowth)</f>
        <v>1973.1102209060962</v>
      </c>
      <c r="D66" s="63">
        <f t="shared" si="28"/>
        <v>2055.9808501841521</v>
      </c>
      <c r="E66" s="63">
        <f t="shared" si="28"/>
        <v>2142.3320458918865</v>
      </c>
      <c r="F66" s="63">
        <f t="shared" si="28"/>
        <v>2232.3099918193457</v>
      </c>
      <c r="G66" s="63">
        <f t="shared" si="28"/>
        <v>2326.0670114757581</v>
      </c>
      <c r="H66" s="63">
        <f t="shared" si="28"/>
        <v>2423.7618259577403</v>
      </c>
      <c r="I66" s="63">
        <f t="shared" si="28"/>
        <v>2525.5598226479656</v>
      </c>
      <c r="J66" s="63">
        <f t="shared" si="28"/>
        <v>2631.6333351991802</v>
      </c>
      <c r="K66" s="63">
        <f t="shared" si="28"/>
        <v>2742.161935277546</v>
      </c>
      <c r="L66" s="63">
        <f t="shared" si="28"/>
        <v>2857.3327365592031</v>
      </c>
    </row>
    <row r="67" spans="1:12" x14ac:dyDescent="0.2">
      <c r="A67" s="41" t="s">
        <v>251</v>
      </c>
      <c r="B67" s="63">
        <f>'Truck Stock'!AG37</f>
        <v>499.34187352800001</v>
      </c>
      <c r="C67" s="63">
        <f t="shared" ref="C67:L67" si="29">B67*(1+htgrowth)</f>
        <v>509.32871099856004</v>
      </c>
      <c r="D67" s="63">
        <f t="shared" si="29"/>
        <v>519.51528521853129</v>
      </c>
      <c r="E67" s="63">
        <f t="shared" si="29"/>
        <v>529.90559092290198</v>
      </c>
      <c r="F67" s="63">
        <f t="shared" si="29"/>
        <v>540.50370274136003</v>
      </c>
      <c r="G67" s="63">
        <f t="shared" si="29"/>
        <v>551.3137767961872</v>
      </c>
      <c r="H67" s="63">
        <f t="shared" si="29"/>
        <v>562.34005233211099</v>
      </c>
      <c r="I67" s="63">
        <f t="shared" si="29"/>
        <v>573.58685337875318</v>
      </c>
      <c r="J67" s="63">
        <f t="shared" si="29"/>
        <v>585.05859044632825</v>
      </c>
      <c r="K67" s="63">
        <f t="shared" si="29"/>
        <v>596.75976225525483</v>
      </c>
      <c r="L67" s="63">
        <f t="shared" si="29"/>
        <v>608.69495750035992</v>
      </c>
    </row>
    <row r="68" spans="1:12" ht="15" x14ac:dyDescent="0.25">
      <c r="A68" s="122" t="s">
        <v>254</v>
      </c>
    </row>
    <row r="69" spans="1:12" x14ac:dyDescent="0.2">
      <c r="A69" s="41" t="s">
        <v>249</v>
      </c>
      <c r="B69" s="63">
        <f>'Truck Stock'!AG47</f>
        <v>357.64478871840004</v>
      </c>
      <c r="C69" s="63">
        <f t="shared" ref="C69:L69" si="30">B65*fltretire</f>
        <v>376.24231773175688</v>
      </c>
      <c r="D69" s="63">
        <f t="shared" si="30"/>
        <v>395.80691825380825</v>
      </c>
      <c r="E69" s="63">
        <f t="shared" si="30"/>
        <v>416.38887800300631</v>
      </c>
      <c r="F69" s="63">
        <f t="shared" si="30"/>
        <v>438.04109965916263</v>
      </c>
      <c r="G69" s="63">
        <f t="shared" si="30"/>
        <v>460.81923684143908</v>
      </c>
      <c r="H69" s="63">
        <f t="shared" si="30"/>
        <v>484.78183715719388</v>
      </c>
      <c r="I69" s="63">
        <f t="shared" si="30"/>
        <v>509.99049268936801</v>
      </c>
      <c r="J69" s="63">
        <f t="shared" si="30"/>
        <v>536.50999830921512</v>
      </c>
      <c r="K69" s="63">
        <f t="shared" si="30"/>
        <v>564.40851822129434</v>
      </c>
      <c r="L69" s="63">
        <f t="shared" si="30"/>
        <v>593.75776116880172</v>
      </c>
    </row>
    <row r="70" spans="1:12" x14ac:dyDescent="0.2">
      <c r="A70" s="41" t="s">
        <v>250</v>
      </c>
      <c r="B70" s="63">
        <f>'Truck Stock'!AG48</f>
        <v>136.29413626530001</v>
      </c>
      <c r="C70" s="63">
        <f t="shared" ref="C70:L70" si="31">B66*mtretire</f>
        <v>142.01848998844261</v>
      </c>
      <c r="D70" s="63">
        <f t="shared" si="31"/>
        <v>147.9832665679572</v>
      </c>
      <c r="E70" s="63">
        <f t="shared" si="31"/>
        <v>154.19856376381139</v>
      </c>
      <c r="F70" s="63">
        <f t="shared" si="31"/>
        <v>160.67490344189147</v>
      </c>
      <c r="G70" s="63">
        <f t="shared" si="31"/>
        <v>167.42324938645092</v>
      </c>
      <c r="H70" s="63">
        <f t="shared" si="31"/>
        <v>174.45502586068184</v>
      </c>
      <c r="I70" s="63">
        <f t="shared" si="31"/>
        <v>181.78213694683052</v>
      </c>
      <c r="J70" s="63">
        <f t="shared" si="31"/>
        <v>189.41698669859741</v>
      </c>
      <c r="K70" s="63">
        <f t="shared" si="31"/>
        <v>197.37250013993852</v>
      </c>
      <c r="L70" s="63">
        <f t="shared" si="31"/>
        <v>205.66214514581594</v>
      </c>
    </row>
    <row r="71" spans="1:12" x14ac:dyDescent="0.2">
      <c r="A71" s="41" t="s">
        <v>251</v>
      </c>
      <c r="B71" s="63">
        <f>'Truck Stock'!AG49</f>
        <v>36.716314229999995</v>
      </c>
      <c r="C71" s="63">
        <f t="shared" ref="C71:L71" si="32">B67*htretire</f>
        <v>37.450640514599996</v>
      </c>
      <c r="D71" s="63">
        <f t="shared" si="32"/>
        <v>38.199653324892004</v>
      </c>
      <c r="E71" s="63">
        <f t="shared" si="32"/>
        <v>38.963646391389844</v>
      </c>
      <c r="F71" s="63">
        <f t="shared" si="32"/>
        <v>39.742919319217648</v>
      </c>
      <c r="G71" s="63">
        <f t="shared" si="32"/>
        <v>40.537777705602004</v>
      </c>
      <c r="H71" s="63">
        <f t="shared" si="32"/>
        <v>41.348533259714038</v>
      </c>
      <c r="I71" s="63">
        <f t="shared" si="32"/>
        <v>42.17550392490832</v>
      </c>
      <c r="J71" s="63">
        <f t="shared" si="32"/>
        <v>43.01901400340649</v>
      </c>
      <c r="K71" s="63">
        <f t="shared" si="32"/>
        <v>43.879394283474618</v>
      </c>
      <c r="L71" s="63">
        <f t="shared" si="32"/>
        <v>44.756982169144109</v>
      </c>
    </row>
    <row r="72" spans="1:12" ht="15" x14ac:dyDescent="0.25">
      <c r="A72" s="122" t="s">
        <v>257</v>
      </c>
    </row>
    <row r="73" spans="1:12" x14ac:dyDescent="0.2">
      <c r="A73" s="41" t="s">
        <v>249</v>
      </c>
      <c r="B73" s="63">
        <f>'Truck Stock'!AG11</f>
        <v>543.62007885196829</v>
      </c>
      <c r="C73" s="57">
        <f>C65-B65+C69</f>
        <v>571.88832295227076</v>
      </c>
      <c r="D73" s="57">
        <f t="shared" ref="D73:L73" si="33">D65-C65+D69</f>
        <v>601.62651574578865</v>
      </c>
      <c r="E73" s="57">
        <f t="shared" si="33"/>
        <v>632.91109456456957</v>
      </c>
      <c r="F73" s="57">
        <f t="shared" si="33"/>
        <v>665.8224714819271</v>
      </c>
      <c r="G73" s="57">
        <f t="shared" si="33"/>
        <v>700.44523999898752</v>
      </c>
      <c r="H73" s="57">
        <f t="shared" si="33"/>
        <v>736.86839247893477</v>
      </c>
      <c r="I73" s="57">
        <f t="shared" si="33"/>
        <v>775.18554888783933</v>
      </c>
      <c r="J73" s="57">
        <f t="shared" si="33"/>
        <v>815.49519743000758</v>
      </c>
      <c r="K73" s="57">
        <f t="shared" si="33"/>
        <v>857.90094769636789</v>
      </c>
      <c r="L73" s="57">
        <f t="shared" si="33"/>
        <v>902.51179697657847</v>
      </c>
    </row>
    <row r="74" spans="1:12" x14ac:dyDescent="0.2">
      <c r="A74" s="41" t="s">
        <v>250</v>
      </c>
      <c r="B74" s="63">
        <f>'Truck Stock'!AG12</f>
        <v>212.618852573868</v>
      </c>
      <c r="C74" s="57">
        <f t="shared" ref="C74:L75" si="34">C66-B66+C70</f>
        <v>221.5488443819705</v>
      </c>
      <c r="D74" s="57">
        <f t="shared" si="34"/>
        <v>230.85389584601316</v>
      </c>
      <c r="E74" s="57">
        <f t="shared" si="34"/>
        <v>240.5497594715458</v>
      </c>
      <c r="F74" s="57">
        <f t="shared" si="34"/>
        <v>250.65284936935061</v>
      </c>
      <c r="G74" s="57">
        <f t="shared" si="34"/>
        <v>261.18026904286342</v>
      </c>
      <c r="H74" s="57">
        <f t="shared" si="34"/>
        <v>272.14984034266399</v>
      </c>
      <c r="I74" s="57">
        <f t="shared" si="34"/>
        <v>283.58013363705584</v>
      </c>
      <c r="J74" s="57">
        <f t="shared" si="34"/>
        <v>295.49049924981205</v>
      </c>
      <c r="K74" s="57">
        <f t="shared" si="34"/>
        <v>307.90110021830435</v>
      </c>
      <c r="L74" s="57">
        <f t="shared" si="34"/>
        <v>320.83294642747302</v>
      </c>
    </row>
    <row r="75" spans="1:12" x14ac:dyDescent="0.2">
      <c r="A75" s="41" t="s">
        <v>251</v>
      </c>
      <c r="B75" s="63">
        <f>'Truck Stock'!AG13</f>
        <v>46.507331358000016</v>
      </c>
      <c r="C75" s="57">
        <f t="shared" si="34"/>
        <v>47.437477985160029</v>
      </c>
      <c r="D75" s="57">
        <f t="shared" si="34"/>
        <v>48.386227544863253</v>
      </c>
      <c r="E75" s="57">
        <f t="shared" si="34"/>
        <v>49.353952095760533</v>
      </c>
      <c r="F75" s="57">
        <f t="shared" si="34"/>
        <v>50.341031137675699</v>
      </c>
      <c r="G75" s="57">
        <f t="shared" si="34"/>
        <v>51.347851760429172</v>
      </c>
      <c r="H75" s="57">
        <f t="shared" si="34"/>
        <v>52.374808795637826</v>
      </c>
      <c r="I75" s="57">
        <f t="shared" si="34"/>
        <v>53.42230497155051</v>
      </c>
      <c r="J75" s="57">
        <f t="shared" si="34"/>
        <v>54.490751070981567</v>
      </c>
      <c r="K75" s="57">
        <f t="shared" si="34"/>
        <v>55.580566092401192</v>
      </c>
      <c r="L75" s="57">
        <f t="shared" si="34"/>
        <v>56.692177414249201</v>
      </c>
    </row>
    <row r="76" spans="1:12" ht="15" x14ac:dyDescent="0.25">
      <c r="A76" s="122" t="s">
        <v>255</v>
      </c>
    </row>
    <row r="77" spans="1:12" x14ac:dyDescent="0.2">
      <c r="A77" s="41" t="s">
        <v>249</v>
      </c>
      <c r="B77" s="130">
        <f>'The Low Carbon Scenario'!G10</f>
        <v>0</v>
      </c>
      <c r="C77" s="130">
        <f>'The Low Carbon Scenario'!H10</f>
        <v>0.05</v>
      </c>
      <c r="D77" s="130">
        <f>'The Low Carbon Scenario'!I10</f>
        <v>0.1</v>
      </c>
      <c r="E77" s="130">
        <f>'The Low Carbon Scenario'!J10</f>
        <v>0.1</v>
      </c>
      <c r="F77" s="130">
        <f>'The Low Carbon Scenario'!K10</f>
        <v>0.15</v>
      </c>
      <c r="G77" s="130">
        <f>'The Low Carbon Scenario'!L10</f>
        <v>0.25</v>
      </c>
      <c r="H77" s="130">
        <f>'The Low Carbon Scenario'!M10</f>
        <v>0.4</v>
      </c>
      <c r="I77" s="130">
        <f>'The Low Carbon Scenario'!N10</f>
        <v>0.5</v>
      </c>
      <c r="J77" s="130">
        <f>'The Low Carbon Scenario'!O10</f>
        <v>0.6</v>
      </c>
      <c r="K77" s="130">
        <f>'The Low Carbon Scenario'!P10</f>
        <v>0.7</v>
      </c>
      <c r="L77" s="130">
        <f>'The Low Carbon Scenario'!Q10</f>
        <v>0.8</v>
      </c>
    </row>
    <row r="78" spans="1:12" x14ac:dyDescent="0.2">
      <c r="A78" s="41" t="s">
        <v>250</v>
      </c>
      <c r="B78" s="130">
        <f>'The Low Carbon Scenario'!G11</f>
        <v>0</v>
      </c>
      <c r="C78" s="130">
        <f>'The Low Carbon Scenario'!H11</f>
        <v>0.01</v>
      </c>
      <c r="D78" s="130">
        <f>'The Low Carbon Scenario'!I11</f>
        <v>0.03</v>
      </c>
      <c r="E78" s="130">
        <f>'The Low Carbon Scenario'!J11</f>
        <v>0.05</v>
      </c>
      <c r="F78" s="130">
        <f>'The Low Carbon Scenario'!K11</f>
        <v>0.1</v>
      </c>
      <c r="G78" s="130">
        <f>'The Low Carbon Scenario'!L11</f>
        <v>0.15</v>
      </c>
      <c r="H78" s="130">
        <f>'The Low Carbon Scenario'!M11</f>
        <v>0.25</v>
      </c>
      <c r="I78" s="130">
        <f>'The Low Carbon Scenario'!N11</f>
        <v>0.35</v>
      </c>
      <c r="J78" s="130">
        <f>'The Low Carbon Scenario'!O11</f>
        <v>0.5</v>
      </c>
      <c r="K78" s="130">
        <f>'The Low Carbon Scenario'!P11</f>
        <v>0.65</v>
      </c>
      <c r="L78" s="130">
        <f>'The Low Carbon Scenario'!Q11</f>
        <v>0.75</v>
      </c>
    </row>
    <row r="79" spans="1:12" x14ac:dyDescent="0.2">
      <c r="A79" s="41" t="s">
        <v>251</v>
      </c>
      <c r="B79" s="130">
        <f>'The Low Carbon Scenario'!G12</f>
        <v>0</v>
      </c>
      <c r="C79" s="130">
        <f>'The Low Carbon Scenario'!H12</f>
        <v>0.01</v>
      </c>
      <c r="D79" s="130">
        <f>'The Low Carbon Scenario'!I12</f>
        <v>0.03</v>
      </c>
      <c r="E79" s="130">
        <f>'The Low Carbon Scenario'!J12</f>
        <v>0.05</v>
      </c>
      <c r="F79" s="130">
        <f>'The Low Carbon Scenario'!K12</f>
        <v>0.1</v>
      </c>
      <c r="G79" s="130">
        <f>'The Low Carbon Scenario'!L12</f>
        <v>0.15</v>
      </c>
      <c r="H79" s="130">
        <f>'The Low Carbon Scenario'!M12</f>
        <v>0.25</v>
      </c>
      <c r="I79" s="130">
        <f>'The Low Carbon Scenario'!N12</f>
        <v>0.35</v>
      </c>
      <c r="J79" s="130">
        <f>'The Low Carbon Scenario'!O12</f>
        <v>0.5</v>
      </c>
      <c r="K79" s="130">
        <f>'The Low Carbon Scenario'!P12</f>
        <v>0.65</v>
      </c>
      <c r="L79" s="130">
        <f>'The Low Carbon Scenario'!Q12</f>
        <v>0.75</v>
      </c>
    </row>
    <row r="80" spans="1:12" ht="15" x14ac:dyDescent="0.25">
      <c r="A80" s="122" t="s">
        <v>258</v>
      </c>
    </row>
    <row r="81" spans="1:12" x14ac:dyDescent="0.2">
      <c r="A81" s="41" t="s">
        <v>249</v>
      </c>
      <c r="B81" s="63">
        <f>B77*B73</f>
        <v>0</v>
      </c>
      <c r="C81" s="63">
        <f>(C77*C73)</f>
        <v>28.59441614761354</v>
      </c>
      <c r="D81" s="63">
        <f t="shared" ref="D81:L81" si="35">(D77*D73)</f>
        <v>60.162651574578867</v>
      </c>
      <c r="E81" s="63">
        <f t="shared" si="35"/>
        <v>63.291109456456958</v>
      </c>
      <c r="F81" s="63">
        <f t="shared" si="35"/>
        <v>99.873370722289067</v>
      </c>
      <c r="G81" s="63">
        <f t="shared" si="35"/>
        <v>175.11130999974688</v>
      </c>
      <c r="H81" s="63">
        <f t="shared" si="35"/>
        <v>294.74735699157389</v>
      </c>
      <c r="I81" s="63">
        <f t="shared" si="35"/>
        <v>387.59277444391967</v>
      </c>
      <c r="J81" s="63">
        <f t="shared" si="35"/>
        <v>489.29711845800455</v>
      </c>
      <c r="K81" s="63">
        <f t="shared" si="35"/>
        <v>600.53066338745748</v>
      </c>
      <c r="L81" s="63">
        <f t="shared" si="35"/>
        <v>722.00943758126277</v>
      </c>
    </row>
    <row r="82" spans="1:12" x14ac:dyDescent="0.2">
      <c r="A82" s="41" t="s">
        <v>250</v>
      </c>
      <c r="B82" s="63">
        <f>B78*B74</f>
        <v>0</v>
      </c>
      <c r="C82" s="63">
        <f>(C78*C74)</f>
        <v>2.2154884438197051</v>
      </c>
      <c r="D82" s="63">
        <f t="shared" ref="D82:L82" si="36">(D78*D74)</f>
        <v>6.9256168753803946</v>
      </c>
      <c r="E82" s="63">
        <f t="shared" si="36"/>
        <v>12.027487973577291</v>
      </c>
      <c r="F82" s="63">
        <f t="shared" si="36"/>
        <v>25.065284936935061</v>
      </c>
      <c r="G82" s="63">
        <f t="shared" si="36"/>
        <v>39.177040356429508</v>
      </c>
      <c r="H82" s="63">
        <f t="shared" si="36"/>
        <v>68.037460085665998</v>
      </c>
      <c r="I82" s="63">
        <f t="shared" si="36"/>
        <v>99.25304677296954</v>
      </c>
      <c r="J82" s="63">
        <f t="shared" si="36"/>
        <v>147.74524962490602</v>
      </c>
      <c r="K82" s="63">
        <f t="shared" si="36"/>
        <v>200.13571514189783</v>
      </c>
      <c r="L82" s="63">
        <f t="shared" si="36"/>
        <v>240.62470982060478</v>
      </c>
    </row>
    <row r="83" spans="1:12" x14ac:dyDescent="0.2">
      <c r="A83" s="41" t="s">
        <v>251</v>
      </c>
      <c r="B83" s="63">
        <f>B79*B75</f>
        <v>0</v>
      </c>
      <c r="C83" s="63">
        <f>(C79*C75)</f>
        <v>0.47437477985160031</v>
      </c>
      <c r="D83" s="63">
        <f t="shared" ref="D83:L83" si="37">(D79*D75)</f>
        <v>1.4515868263458975</v>
      </c>
      <c r="E83" s="63">
        <f t="shared" si="37"/>
        <v>2.467697604788027</v>
      </c>
      <c r="F83" s="63">
        <f t="shared" si="37"/>
        <v>5.0341031137675705</v>
      </c>
      <c r="G83" s="63">
        <f t="shared" si="37"/>
        <v>7.7021777640643752</v>
      </c>
      <c r="H83" s="63">
        <f t="shared" si="37"/>
        <v>13.093702198909456</v>
      </c>
      <c r="I83" s="63">
        <f t="shared" si="37"/>
        <v>18.697806740042676</v>
      </c>
      <c r="J83" s="63">
        <f t="shared" si="37"/>
        <v>27.245375535490783</v>
      </c>
      <c r="K83" s="63">
        <f t="shared" si="37"/>
        <v>36.127367960060774</v>
      </c>
      <c r="L83" s="63">
        <f t="shared" si="37"/>
        <v>42.519133060686897</v>
      </c>
    </row>
    <row r="84" spans="1:12" ht="15" x14ac:dyDescent="0.25">
      <c r="A84" s="122" t="s">
        <v>259</v>
      </c>
      <c r="B84" s="36"/>
      <c r="C84" s="36"/>
      <c r="D84" s="36"/>
      <c r="E84" s="36"/>
      <c r="F84" s="36"/>
      <c r="G84" s="36"/>
      <c r="H84" s="36"/>
      <c r="I84" s="36"/>
      <c r="J84" s="36"/>
      <c r="K84" s="36"/>
      <c r="L84" s="36"/>
    </row>
    <row r="85" spans="1:12" x14ac:dyDescent="0.2">
      <c r="A85" s="41" t="s">
        <v>249</v>
      </c>
      <c r="B85" s="63">
        <f>B81</f>
        <v>0</v>
      </c>
      <c r="C85" s="63">
        <f>C81</f>
        <v>28.59441614761354</v>
      </c>
      <c r="D85" s="63">
        <f>C85+D81</f>
        <v>88.757067722192403</v>
      </c>
      <c r="E85" s="63">
        <f t="shared" ref="E85:L85" si="38">D85+E81</f>
        <v>152.04817717864935</v>
      </c>
      <c r="F85" s="63">
        <f t="shared" si="38"/>
        <v>251.92154790093844</v>
      </c>
      <c r="G85" s="63">
        <f t="shared" si="38"/>
        <v>427.03285790068531</v>
      </c>
      <c r="H85" s="63">
        <f t="shared" si="38"/>
        <v>721.78021489225921</v>
      </c>
      <c r="I85" s="63">
        <f t="shared" si="38"/>
        <v>1109.3729893361788</v>
      </c>
      <c r="J85" s="63">
        <f t="shared" si="38"/>
        <v>1598.6701077941834</v>
      </c>
      <c r="K85" s="63">
        <f t="shared" si="38"/>
        <v>2199.2007711816409</v>
      </c>
      <c r="L85" s="63">
        <f t="shared" si="38"/>
        <v>2921.2102087629037</v>
      </c>
    </row>
    <row r="86" spans="1:12" x14ac:dyDescent="0.2">
      <c r="A86" s="41" t="s">
        <v>250</v>
      </c>
      <c r="B86" s="63">
        <f>B82</f>
        <v>0</v>
      </c>
      <c r="C86" s="63">
        <f>B86+(C82-B82)</f>
        <v>2.2154884438197051</v>
      </c>
      <c r="D86" s="63">
        <f t="shared" ref="D86:L87" si="39">C86+D82</f>
        <v>9.1411053192001006</v>
      </c>
      <c r="E86" s="63">
        <f t="shared" si="39"/>
        <v>21.168593292777391</v>
      </c>
      <c r="F86" s="63">
        <f t="shared" si="39"/>
        <v>46.233878229712452</v>
      </c>
      <c r="G86" s="63">
        <f t="shared" si="39"/>
        <v>85.41091858614196</v>
      </c>
      <c r="H86" s="63">
        <f t="shared" si="39"/>
        <v>153.44837867180797</v>
      </c>
      <c r="I86" s="63">
        <f t="shared" si="39"/>
        <v>252.7014254447775</v>
      </c>
      <c r="J86" s="63">
        <f t="shared" si="39"/>
        <v>400.44667506968352</v>
      </c>
      <c r="K86" s="63">
        <f t="shared" si="39"/>
        <v>600.58239021158136</v>
      </c>
      <c r="L86" s="63">
        <f t="shared" si="39"/>
        <v>841.20710003218619</v>
      </c>
    </row>
    <row r="87" spans="1:12" x14ac:dyDescent="0.2">
      <c r="A87" s="41" t="s">
        <v>251</v>
      </c>
      <c r="B87" s="63">
        <f>B83</f>
        <v>0</v>
      </c>
      <c r="C87" s="63">
        <f>B87+(C83-B83)</f>
        <v>0.47437477985160031</v>
      </c>
      <c r="D87" s="63">
        <f t="shared" si="39"/>
        <v>1.9259616061974978</v>
      </c>
      <c r="E87" s="63">
        <f t="shared" si="39"/>
        <v>4.3936592109855246</v>
      </c>
      <c r="F87" s="63">
        <f t="shared" si="39"/>
        <v>9.4277623247530951</v>
      </c>
      <c r="G87" s="63">
        <f t="shared" si="39"/>
        <v>17.12994008881747</v>
      </c>
      <c r="H87" s="63">
        <f t="shared" si="39"/>
        <v>30.223642287726925</v>
      </c>
      <c r="I87" s="63">
        <f t="shared" si="39"/>
        <v>48.921449027769597</v>
      </c>
      <c r="J87" s="63">
        <f t="shared" si="39"/>
        <v>76.166824563260377</v>
      </c>
      <c r="K87" s="63">
        <f t="shared" si="39"/>
        <v>112.29419252332116</v>
      </c>
      <c r="L87" s="63">
        <f t="shared" si="39"/>
        <v>154.81332558400806</v>
      </c>
    </row>
    <row r="88" spans="1:12" ht="15" x14ac:dyDescent="0.25">
      <c r="A88" s="122" t="s">
        <v>256</v>
      </c>
    </row>
    <row r="89" spans="1:12" x14ac:dyDescent="0.2">
      <c r="A89" s="41" t="s">
        <v>249</v>
      </c>
      <c r="B89" s="98">
        <f>B85/B65</f>
        <v>0</v>
      </c>
      <c r="C89" s="98">
        <f t="shared" ref="C89:K91" si="40">C85/C65</f>
        <v>7.2243346007604611E-3</v>
      </c>
      <c r="D89" s="98">
        <f t="shared" si="40"/>
        <v>2.1315907415171542E-2</v>
      </c>
      <c r="E89" s="98">
        <f t="shared" si="40"/>
        <v>3.4710938607577513E-2</v>
      </c>
      <c r="F89" s="98">
        <f t="shared" si="40"/>
        <v>5.4668192592754294E-2</v>
      </c>
      <c r="G89" s="98">
        <f t="shared" si="40"/>
        <v>8.8087635544443252E-2</v>
      </c>
      <c r="H89" s="98">
        <f t="shared" si="40"/>
        <v>0.14152817066962287</v>
      </c>
      <c r="I89" s="98">
        <f t="shared" si="40"/>
        <v>0.20677582763272134</v>
      </c>
      <c r="J89" s="98">
        <f t="shared" si="40"/>
        <v>0.28324698444175039</v>
      </c>
      <c r="K89" s="98">
        <f t="shared" si="40"/>
        <v>0.37038686734006693</v>
      </c>
      <c r="L89" s="98">
        <f>L85/L65</f>
        <v>0.46766812484797238</v>
      </c>
    </row>
    <row r="90" spans="1:12" x14ac:dyDescent="0.2">
      <c r="A90" s="41" t="s">
        <v>250</v>
      </c>
      <c r="B90" s="98">
        <f>B86/B66</f>
        <v>0</v>
      </c>
      <c r="C90" s="98">
        <f t="shared" si="40"/>
        <v>1.1228406909788869E-3</v>
      </c>
      <c r="D90" s="98">
        <f t="shared" si="40"/>
        <v>4.4461043099605435E-3</v>
      </c>
      <c r="E90" s="98">
        <f t="shared" si="40"/>
        <v>9.8810981861425558E-3</v>
      </c>
      <c r="F90" s="98">
        <f t="shared" si="40"/>
        <v>2.0711226666163679E-2</v>
      </c>
      <c r="G90" s="98">
        <f t="shared" si="40"/>
        <v>3.6719027510713702E-2</v>
      </c>
      <c r="H90" s="98">
        <f t="shared" si="40"/>
        <v>6.3310007207978622E-2</v>
      </c>
      <c r="I90" s="98">
        <f t="shared" si="40"/>
        <v>0.10005758849134226</v>
      </c>
      <c r="J90" s="98">
        <f t="shared" si="40"/>
        <v>0.15216659164236304</v>
      </c>
      <c r="K90" s="98">
        <f t="shared" si="40"/>
        <v>0.21901784226714308</v>
      </c>
      <c r="L90" s="98">
        <f>L86/L66</f>
        <v>0.29440291964217191</v>
      </c>
    </row>
    <row r="91" spans="1:12" x14ac:dyDescent="0.2">
      <c r="A91" s="41" t="s">
        <v>251</v>
      </c>
      <c r="B91" s="98">
        <f>B87/B67</f>
        <v>0</v>
      </c>
      <c r="C91" s="98">
        <f t="shared" si="40"/>
        <v>9.3137254901960839E-4</v>
      </c>
      <c r="D91" s="98">
        <f t="shared" si="40"/>
        <v>3.7072279892349123E-3</v>
      </c>
      <c r="E91" s="98">
        <f t="shared" si="40"/>
        <v>8.291399989445997E-3</v>
      </c>
      <c r="F91" s="98">
        <f t="shared" si="40"/>
        <v>1.7442549009260785E-2</v>
      </c>
      <c r="G91" s="98">
        <f t="shared" si="40"/>
        <v>3.1071126479667428E-2</v>
      </c>
      <c r="H91" s="98">
        <f t="shared" si="40"/>
        <v>5.3746202431046511E-2</v>
      </c>
      <c r="I91" s="98">
        <f t="shared" si="40"/>
        <v>8.5290394540241649E-2</v>
      </c>
      <c r="J91" s="98">
        <f t="shared" si="40"/>
        <v>0.13018666131396239</v>
      </c>
      <c r="K91" s="98">
        <f t="shared" si="40"/>
        <v>0.18817319736662982</v>
      </c>
      <c r="L91" s="98">
        <f>L87/L67</f>
        <v>0.25433646800649984</v>
      </c>
    </row>
    <row r="92" spans="1:12" ht="15" x14ac:dyDescent="0.25">
      <c r="A92" s="125" t="s">
        <v>339</v>
      </c>
    </row>
    <row r="93" spans="1:12" x14ac:dyDescent="0.2">
      <c r="A93" s="41" t="s">
        <v>249</v>
      </c>
      <c r="B93" s="170">
        <f>'The Low Carbon Scenario'!B69</f>
        <v>2500</v>
      </c>
      <c r="C93" s="63">
        <f>B93*(1-$B$97)</f>
        <v>2250</v>
      </c>
      <c r="D93" s="63">
        <f t="shared" ref="D93:L93" si="41">C93*(1-$B$97)</f>
        <v>2025</v>
      </c>
      <c r="E93" s="63">
        <f t="shared" si="41"/>
        <v>1822.5</v>
      </c>
      <c r="F93" s="63">
        <f t="shared" si="41"/>
        <v>1640.25</v>
      </c>
      <c r="G93" s="63">
        <f t="shared" si="41"/>
        <v>1476.2250000000001</v>
      </c>
      <c r="H93" s="63">
        <f t="shared" si="41"/>
        <v>1328.6025000000002</v>
      </c>
      <c r="I93" s="63">
        <f t="shared" si="41"/>
        <v>1195.7422500000002</v>
      </c>
      <c r="J93" s="63">
        <f t="shared" si="41"/>
        <v>1076.1680250000002</v>
      </c>
      <c r="K93" s="63">
        <f t="shared" si="41"/>
        <v>968.55122250000022</v>
      </c>
      <c r="L93" s="63">
        <f t="shared" si="41"/>
        <v>871.6961002500002</v>
      </c>
    </row>
    <row r="94" spans="1:12" x14ac:dyDescent="0.2">
      <c r="A94" s="41" t="s">
        <v>250</v>
      </c>
      <c r="B94" s="170">
        <f>'The Low Carbon Scenario'!C69</f>
        <v>20000</v>
      </c>
      <c r="C94" s="63">
        <f>B94*(1-$B$98)</f>
        <v>19200</v>
      </c>
      <c r="D94" s="63">
        <f t="shared" ref="D94:L94" si="42">C94*(1-$B$98)</f>
        <v>18432</v>
      </c>
      <c r="E94" s="63">
        <f t="shared" si="42"/>
        <v>17694.72</v>
      </c>
      <c r="F94" s="63">
        <f t="shared" si="42"/>
        <v>16986.931199999999</v>
      </c>
      <c r="G94" s="63">
        <f t="shared" si="42"/>
        <v>16307.453951999998</v>
      </c>
      <c r="H94" s="63">
        <f t="shared" si="42"/>
        <v>15655.155793919997</v>
      </c>
      <c r="I94" s="63">
        <f t="shared" si="42"/>
        <v>15028.949562163198</v>
      </c>
      <c r="J94" s="63">
        <f t="shared" si="42"/>
        <v>14427.79157967667</v>
      </c>
      <c r="K94" s="63">
        <f t="shared" si="42"/>
        <v>13850.679916489602</v>
      </c>
      <c r="L94" s="63">
        <f t="shared" si="42"/>
        <v>13296.652719830017</v>
      </c>
    </row>
    <row r="95" spans="1:12" x14ac:dyDescent="0.2">
      <c r="A95" s="41" t="s">
        <v>251</v>
      </c>
      <c r="B95" s="170">
        <f>'The Low Carbon Scenario'!D69</f>
        <v>65000</v>
      </c>
      <c r="C95" s="63">
        <f>B95*(1-$B$99)</f>
        <v>62400</v>
      </c>
      <c r="D95" s="63">
        <f t="shared" ref="D95:L95" si="43">C95*(1-$B$99)</f>
        <v>59904</v>
      </c>
      <c r="E95" s="63">
        <f t="shared" si="43"/>
        <v>57507.839999999997</v>
      </c>
      <c r="F95" s="63">
        <f t="shared" si="43"/>
        <v>55207.526399999995</v>
      </c>
      <c r="G95" s="63">
        <f t="shared" si="43"/>
        <v>52999.225343999991</v>
      </c>
      <c r="H95" s="63">
        <f t="shared" si="43"/>
        <v>50879.256330239987</v>
      </c>
      <c r="I95" s="63">
        <f t="shared" si="43"/>
        <v>48844.086077030384</v>
      </c>
      <c r="J95" s="63">
        <f t="shared" si="43"/>
        <v>46890.322633949167</v>
      </c>
      <c r="K95" s="63">
        <f t="shared" si="43"/>
        <v>45014.709728591195</v>
      </c>
      <c r="L95" s="63">
        <f t="shared" si="43"/>
        <v>43214.121339447549</v>
      </c>
    </row>
    <row r="96" spans="1:12" ht="15" x14ac:dyDescent="0.25">
      <c r="A96" s="125" t="s">
        <v>260</v>
      </c>
    </row>
    <row r="97" spans="1:14" x14ac:dyDescent="0.2">
      <c r="A97" s="49" t="s">
        <v>249</v>
      </c>
      <c r="B97" s="129">
        <f>'The Low Carbon Scenario'!B70</f>
        <v>0.1</v>
      </c>
    </row>
    <row r="98" spans="1:14" x14ac:dyDescent="0.2">
      <c r="A98" s="49" t="s">
        <v>250</v>
      </c>
      <c r="B98" s="129">
        <f>'The Low Carbon Scenario'!C70</f>
        <v>0.04</v>
      </c>
    </row>
    <row r="99" spans="1:14" x14ac:dyDescent="0.2">
      <c r="A99" s="49" t="s">
        <v>251</v>
      </c>
      <c r="B99" s="129">
        <f>'The Low Carbon Scenario'!D70</f>
        <v>0.04</v>
      </c>
    </row>
    <row r="101" spans="1:14" ht="15" x14ac:dyDescent="0.25">
      <c r="A101" s="125" t="s">
        <v>261</v>
      </c>
    </row>
    <row r="102" spans="1:14" x14ac:dyDescent="0.2">
      <c r="A102" s="49" t="s">
        <v>249</v>
      </c>
      <c r="B102" s="106">
        <f>B93*B81/1000</f>
        <v>0</v>
      </c>
      <c r="C102" s="106">
        <f t="shared" ref="C102:D104" si="44">C93*C81/1000</f>
        <v>64.337436332130466</v>
      </c>
      <c r="D102" s="106">
        <f t="shared" si="44"/>
        <v>121.82936943852221</v>
      </c>
      <c r="E102" s="106">
        <f t="shared" ref="E102:L102" si="45">E93*E81/1000</f>
        <v>115.34804698439279</v>
      </c>
      <c r="F102" s="106">
        <f t="shared" si="45"/>
        <v>163.81729632723466</v>
      </c>
      <c r="G102" s="106">
        <f t="shared" si="45"/>
        <v>258.50369360437639</v>
      </c>
      <c r="H102" s="106">
        <f t="shared" si="45"/>
        <v>391.60207536739762</v>
      </c>
      <c r="I102" s="106">
        <f t="shared" si="45"/>
        <v>463.46105619731509</v>
      </c>
      <c r="J102" s="106">
        <f t="shared" si="45"/>
        <v>526.56591360914183</v>
      </c>
      <c r="K102" s="106">
        <f t="shared" si="45"/>
        <v>581.64470817265806</v>
      </c>
      <c r="L102" s="106">
        <f t="shared" si="45"/>
        <v>629.37281108328273</v>
      </c>
      <c r="N102" s="172">
        <f>SUM(C102:L102)</f>
        <v>3316.4824071164512</v>
      </c>
    </row>
    <row r="103" spans="1:14" x14ac:dyDescent="0.2">
      <c r="A103" s="49" t="s">
        <v>250</v>
      </c>
      <c r="B103" s="106">
        <f>B94*B82/1000</f>
        <v>0</v>
      </c>
      <c r="C103" s="106">
        <f t="shared" si="44"/>
        <v>42.537378121338342</v>
      </c>
      <c r="D103" s="106">
        <f t="shared" si="44"/>
        <v>127.65297024701142</v>
      </c>
      <c r="E103" s="106">
        <f t="shared" ref="E103:L103" si="46">E94*E82/1000</f>
        <v>212.82303199581759</v>
      </c>
      <c r="F103" s="106">
        <f t="shared" si="46"/>
        <v>425.78227073211224</v>
      </c>
      <c r="G103" s="106">
        <f t="shared" si="46"/>
        <v>638.87778158811977</v>
      </c>
      <c r="H103" s="106">
        <f t="shared" si="46"/>
        <v>1065.1370374637147</v>
      </c>
      <c r="I103" s="106">
        <f t="shared" si="46"/>
        <v>1491.6690338419839</v>
      </c>
      <c r="J103" s="106">
        <f t="shared" si="46"/>
        <v>2131.6376684754468</v>
      </c>
      <c r="K103" s="106">
        <f t="shared" si="46"/>
        <v>2772.0157302881685</v>
      </c>
      <c r="L103" s="106">
        <f t="shared" si="46"/>
        <v>3199.5032022944529</v>
      </c>
      <c r="N103" s="172">
        <f>SUM(C103:L103)</f>
        <v>12107.636105048166</v>
      </c>
    </row>
    <row r="104" spans="1:14" x14ac:dyDescent="0.2">
      <c r="A104" s="49" t="s">
        <v>9</v>
      </c>
      <c r="B104" s="106">
        <f>B95*B83/1000</f>
        <v>0</v>
      </c>
      <c r="C104" s="106">
        <f t="shared" si="44"/>
        <v>29.600986262739859</v>
      </c>
      <c r="D104" s="106">
        <f t="shared" si="44"/>
        <v>86.955857245424653</v>
      </c>
      <c r="E104" s="106">
        <f t="shared" ref="E104:L104" si="47">E95*E83/1000</f>
        <v>141.91195902453308</v>
      </c>
      <c r="F104" s="106">
        <f t="shared" si="47"/>
        <v>277.92038055364532</v>
      </c>
      <c r="G104" s="106">
        <f t="shared" si="47"/>
        <v>408.20945495719383</v>
      </c>
      <c r="H104" s="106">
        <f t="shared" si="47"/>
        <v>666.1978304901412</v>
      </c>
      <c r="I104" s="106">
        <f t="shared" si="47"/>
        <v>913.27728186232343</v>
      </c>
      <c r="J104" s="106">
        <f t="shared" si="47"/>
        <v>1277.5444491422684</v>
      </c>
      <c r="K104" s="106">
        <f t="shared" si="47"/>
        <v>1626.2629819801414</v>
      </c>
      <c r="L104" s="106">
        <f t="shared" si="47"/>
        <v>1837.4269753326394</v>
      </c>
      <c r="N104" s="172">
        <f>SUM(C104:L104)</f>
        <v>7265.3081568510497</v>
      </c>
    </row>
    <row r="105" spans="1:14" x14ac:dyDescent="0.2">
      <c r="A105" s="100" t="s">
        <v>55</v>
      </c>
      <c r="B105" s="106">
        <f>SUM(B102:B104)</f>
        <v>0</v>
      </c>
      <c r="C105" s="106">
        <f t="shared" ref="C105:L105" si="48">SUM(C102:C104)</f>
        <v>136.47580071620868</v>
      </c>
      <c r="D105" s="106">
        <f t="shared" si="48"/>
        <v>336.43819693095827</v>
      </c>
      <c r="E105" s="106">
        <f t="shared" si="48"/>
        <v>470.08303800474346</v>
      </c>
      <c r="F105" s="106">
        <f t="shared" si="48"/>
        <v>867.51994761299215</v>
      </c>
      <c r="G105" s="106">
        <f t="shared" si="48"/>
        <v>1305.5909301496899</v>
      </c>
      <c r="H105" s="106">
        <f t="shared" si="48"/>
        <v>2122.9369433212537</v>
      </c>
      <c r="I105" s="106">
        <f t="shared" si="48"/>
        <v>2868.4073719016224</v>
      </c>
      <c r="J105" s="106">
        <f t="shared" si="48"/>
        <v>3935.7480312268572</v>
      </c>
      <c r="K105" s="106">
        <f t="shared" si="48"/>
        <v>4979.9234204409677</v>
      </c>
      <c r="L105" s="106">
        <f t="shared" si="48"/>
        <v>5666.3029887103748</v>
      </c>
      <c r="N105" s="172">
        <f>SUM(C105:L105)</f>
        <v>22689.426669015673</v>
      </c>
    </row>
    <row r="107" spans="1:14" x14ac:dyDescent="0.2">
      <c r="A107" s="12"/>
    </row>
    <row r="108" spans="1:14" x14ac:dyDescent="0.2">
      <c r="A108" s="12"/>
    </row>
    <row r="109" spans="1:14" x14ac:dyDescent="0.2">
      <c r="A109" s="12"/>
    </row>
  </sheetData>
  <sheetProtection algorithmName="SHA-512" hashValue="LH+s1tVnXouTfyDAmljcnmJlmgiFCMaAV2+sHLjuNx/fQKYcmplCOWLbIMpkE9ZsA9r9SP1Jh0gPVuhE4E+sMA==" saltValue="kybW+Cd2yZVKwWkHe4iUOg==" spinCount="100000" sheet="1" objects="1" scenarios="1"/>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CAB8-80BB-4305-BE52-DC6E66D6A192}">
  <dimension ref="A1:AV226"/>
  <sheetViews>
    <sheetView topLeftCell="Q79" workbookViewId="0">
      <selection activeCell="T71" sqref="T71"/>
    </sheetView>
  </sheetViews>
  <sheetFormatPr defaultRowHeight="12.75" x14ac:dyDescent="0.2"/>
  <cols>
    <col min="1" max="1" width="70.140625" customWidth="1"/>
    <col min="2" max="2" width="16.42578125" customWidth="1"/>
    <col min="3" max="3" width="12.42578125" customWidth="1"/>
    <col min="4" max="4" width="10.42578125" customWidth="1"/>
    <col min="5" max="5" width="1.28515625" customWidth="1"/>
    <col min="6" max="6" width="42.85546875" customWidth="1"/>
    <col min="7" max="7" width="6" customWidth="1"/>
    <col min="8" max="8" width="6.28515625" customWidth="1"/>
    <col min="9" max="14" width="5.7109375" bestFit="1" customWidth="1"/>
    <col min="15" max="15" width="6" bestFit="1" customWidth="1"/>
    <col min="16" max="17" width="5.7109375" bestFit="1" customWidth="1"/>
    <col min="18" max="18" width="6.42578125" customWidth="1"/>
    <col min="20" max="20" width="66.5703125" customWidth="1"/>
    <col min="21" max="21" width="13" bestFit="1" customWidth="1"/>
    <col min="22" max="22" width="14.85546875" bestFit="1" customWidth="1"/>
    <col min="23" max="23" width="11.85546875" bestFit="1" customWidth="1"/>
    <col min="24" max="31" width="11.5703125" bestFit="1" customWidth="1"/>
    <col min="32" max="32" width="13.140625" bestFit="1" customWidth="1"/>
    <col min="33" max="33" width="19" customWidth="1"/>
    <col min="35" max="35" width="63.85546875" customWidth="1"/>
    <col min="36" max="37" width="12.28515625" bestFit="1" customWidth="1"/>
    <col min="38" max="38" width="16.42578125" bestFit="1" customWidth="1"/>
    <col min="39" max="46" width="12.28515625" bestFit="1" customWidth="1"/>
  </cols>
  <sheetData>
    <row r="1" spans="1:46" ht="21.75" thickBot="1" x14ac:dyDescent="0.35">
      <c r="A1" s="486" t="s">
        <v>228</v>
      </c>
      <c r="B1" s="487"/>
      <c r="F1" s="488" t="s">
        <v>441</v>
      </c>
      <c r="G1" s="489"/>
      <c r="H1" s="489"/>
      <c r="I1" s="489"/>
      <c r="J1" s="489"/>
      <c r="K1" s="489"/>
      <c r="L1" s="489"/>
      <c r="M1" s="489"/>
      <c r="N1" s="489"/>
      <c r="O1" s="489"/>
      <c r="P1" s="489"/>
      <c r="Q1" s="490"/>
      <c r="T1" s="101" t="s">
        <v>66</v>
      </c>
      <c r="AI1" s="4" t="s">
        <v>219</v>
      </c>
    </row>
    <row r="2" spans="1:46" ht="15.75" x14ac:dyDescent="0.2">
      <c r="A2" s="186" t="s">
        <v>352</v>
      </c>
      <c r="B2" s="187" t="s">
        <v>319</v>
      </c>
      <c r="C2" s="143"/>
      <c r="D2" s="144"/>
      <c r="E2" s="144"/>
      <c r="F2" s="156" t="s">
        <v>277</v>
      </c>
      <c r="G2" s="157">
        <v>2020</v>
      </c>
      <c r="H2" s="157">
        <v>2021</v>
      </c>
      <c r="I2" s="157">
        <v>2022</v>
      </c>
      <c r="J2" s="157">
        <v>2023</v>
      </c>
      <c r="K2" s="157">
        <v>2024</v>
      </c>
      <c r="L2" s="157">
        <v>2025</v>
      </c>
      <c r="M2" s="157">
        <v>2026</v>
      </c>
      <c r="N2" s="157">
        <v>2027</v>
      </c>
      <c r="O2" s="157">
        <v>2028</v>
      </c>
      <c r="P2" s="157">
        <v>2029</v>
      </c>
      <c r="Q2" s="158">
        <v>2030</v>
      </c>
      <c r="R2" s="144"/>
      <c r="S2" s="144"/>
      <c r="T2" s="258"/>
      <c r="U2" s="100">
        <v>2020</v>
      </c>
      <c r="V2" s="100">
        <v>2021</v>
      </c>
      <c r="W2" s="100">
        <v>2022</v>
      </c>
      <c r="X2" s="100">
        <v>2023</v>
      </c>
      <c r="Y2" s="100">
        <v>2024</v>
      </c>
      <c r="Z2" s="100">
        <v>2025</v>
      </c>
      <c r="AA2" s="100">
        <v>2026</v>
      </c>
      <c r="AB2" s="100">
        <v>2027</v>
      </c>
      <c r="AC2" s="100">
        <v>2028</v>
      </c>
      <c r="AD2" s="100">
        <v>2029</v>
      </c>
      <c r="AE2" s="100">
        <v>2030</v>
      </c>
    </row>
    <row r="3" spans="1:46" ht="15" x14ac:dyDescent="0.2">
      <c r="A3" s="188" t="s">
        <v>356</v>
      </c>
      <c r="B3" s="202">
        <v>0</v>
      </c>
      <c r="C3" s="36"/>
      <c r="F3" s="159" t="s">
        <v>318</v>
      </c>
      <c r="G3" s="284">
        <v>0.52</v>
      </c>
      <c r="H3" s="284">
        <v>0.52</v>
      </c>
      <c r="I3" s="284">
        <v>0.52</v>
      </c>
      <c r="J3" s="284">
        <v>0.52</v>
      </c>
      <c r="K3" s="284">
        <v>0.52</v>
      </c>
      <c r="L3" s="284">
        <v>0.52</v>
      </c>
      <c r="M3" s="284">
        <v>0.52</v>
      </c>
      <c r="N3" s="284">
        <v>0.52</v>
      </c>
      <c r="O3" s="284">
        <v>0.52</v>
      </c>
      <c r="P3" s="284">
        <v>0.52</v>
      </c>
      <c r="Q3" s="287">
        <v>0.52</v>
      </c>
      <c r="T3" s="220" t="s">
        <v>42</v>
      </c>
      <c r="U3" s="254">
        <v>37.799999999999997</v>
      </c>
      <c r="V3" s="254">
        <v>38</v>
      </c>
      <c r="W3" s="254">
        <v>38.34896486736033</v>
      </c>
      <c r="X3" s="254">
        <v>38.701134378895709</v>
      </c>
      <c r="Y3" s="254">
        <v>39.056537963770069</v>
      </c>
      <c r="Z3" s="254">
        <v>39.415205321403775</v>
      </c>
      <c r="AA3" s="254">
        <v>39.777166423955457</v>
      </c>
      <c r="AB3" s="254">
        <v>40.142451518826654</v>
      </c>
      <c r="AC3" s="254">
        <v>40.511091131189438</v>
      </c>
      <c r="AD3" s="254">
        <v>40.883116066537276</v>
      </c>
      <c r="AE3" s="254">
        <v>41.258557413259282</v>
      </c>
      <c r="AG3" s="12" t="s">
        <v>363</v>
      </c>
      <c r="AI3" s="41" t="s">
        <v>87</v>
      </c>
      <c r="AJ3" s="59">
        <v>9.1832859831666447E-3</v>
      </c>
    </row>
    <row r="4" spans="1:46" ht="15" x14ac:dyDescent="0.2">
      <c r="A4" s="188" t="s">
        <v>310</v>
      </c>
      <c r="B4" s="202">
        <v>0</v>
      </c>
      <c r="C4" s="36"/>
      <c r="F4" s="159" t="s">
        <v>317</v>
      </c>
      <c r="G4" s="118">
        <v>0.48</v>
      </c>
      <c r="H4" s="118">
        <v>0.48</v>
      </c>
      <c r="I4" s="118">
        <v>0.48</v>
      </c>
      <c r="J4" s="118">
        <v>0.48</v>
      </c>
      <c r="K4" s="118">
        <v>0.48</v>
      </c>
      <c r="L4" s="118">
        <v>0.48</v>
      </c>
      <c r="M4" s="118">
        <v>0.48</v>
      </c>
      <c r="N4" s="118">
        <v>0.48</v>
      </c>
      <c r="O4" s="118">
        <v>0.48</v>
      </c>
      <c r="P4" s="118">
        <v>0.48</v>
      </c>
      <c r="Q4" s="142">
        <v>0.48</v>
      </c>
      <c r="T4" s="108" t="s">
        <v>230</v>
      </c>
      <c r="U4" s="255">
        <v>16000</v>
      </c>
      <c r="V4" s="109">
        <v>16000</v>
      </c>
      <c r="W4" s="109">
        <v>16000</v>
      </c>
      <c r="X4" s="109">
        <v>16000</v>
      </c>
      <c r="Y4" s="109">
        <v>16000</v>
      </c>
      <c r="Z4" s="109">
        <v>16000</v>
      </c>
      <c r="AA4" s="109">
        <v>16000</v>
      </c>
      <c r="AB4" s="109">
        <v>16000</v>
      </c>
      <c r="AC4" s="109">
        <v>16000</v>
      </c>
      <c r="AD4" s="109">
        <v>16000</v>
      </c>
      <c r="AE4" s="107">
        <v>16000</v>
      </c>
      <c r="AG4" s="12" t="s">
        <v>363</v>
      </c>
      <c r="AI4" s="41" t="s">
        <v>231</v>
      </c>
      <c r="AJ4" s="59">
        <v>0.01</v>
      </c>
    </row>
    <row r="5" spans="1:46" ht="15" x14ac:dyDescent="0.2">
      <c r="A5" s="188" t="s">
        <v>330</v>
      </c>
      <c r="B5" s="202">
        <v>0</v>
      </c>
      <c r="C5" s="36"/>
      <c r="F5" s="159" t="s">
        <v>91</v>
      </c>
      <c r="G5" s="285">
        <v>0.01</v>
      </c>
      <c r="H5" s="285">
        <v>0.01</v>
      </c>
      <c r="I5" s="285">
        <v>0.01</v>
      </c>
      <c r="J5" s="285">
        <v>0.01</v>
      </c>
      <c r="K5" s="285">
        <v>0.01</v>
      </c>
      <c r="L5" s="285">
        <v>0.01</v>
      </c>
      <c r="M5" s="285">
        <v>0.01</v>
      </c>
      <c r="N5" s="285">
        <v>0.01</v>
      </c>
      <c r="O5" s="285">
        <v>0.01</v>
      </c>
      <c r="P5" s="285">
        <v>0.01</v>
      </c>
      <c r="Q5" s="286">
        <v>0.01</v>
      </c>
      <c r="T5" s="108" t="s">
        <v>321</v>
      </c>
      <c r="U5" s="255">
        <v>604800</v>
      </c>
      <c r="V5" s="255">
        <v>608000</v>
      </c>
      <c r="W5" s="255">
        <v>613583.43787776527</v>
      </c>
      <c r="X5" s="255">
        <v>619218.15006233135</v>
      </c>
      <c r="Y5" s="255">
        <v>624904.60742032109</v>
      </c>
      <c r="Z5" s="255">
        <v>630643.28514246037</v>
      </c>
      <c r="AA5" s="255">
        <v>636434.66278328735</v>
      </c>
      <c r="AB5" s="255">
        <v>642279.22430122644</v>
      </c>
      <c r="AC5" s="255">
        <v>648177.45809903101</v>
      </c>
      <c r="AD5" s="255">
        <v>654129.85706459638</v>
      </c>
      <c r="AE5" s="255">
        <v>660136.9186121485</v>
      </c>
      <c r="AG5" s="12" t="s">
        <v>363</v>
      </c>
      <c r="AI5" s="47" t="s">
        <v>88</v>
      </c>
      <c r="AJ5" s="44">
        <v>2020</v>
      </c>
      <c r="AK5" s="44">
        <v>2021</v>
      </c>
      <c r="AL5" s="44">
        <v>2022</v>
      </c>
      <c r="AM5" s="44">
        <v>2023</v>
      </c>
      <c r="AN5" s="44">
        <v>2024</v>
      </c>
      <c r="AO5" s="44">
        <v>2025</v>
      </c>
      <c r="AP5" s="44">
        <v>2026</v>
      </c>
      <c r="AQ5" s="44">
        <v>2027</v>
      </c>
      <c r="AR5" s="44">
        <v>2028</v>
      </c>
      <c r="AS5" s="44">
        <v>2029</v>
      </c>
      <c r="AT5" s="44">
        <v>2030</v>
      </c>
    </row>
    <row r="6" spans="1:46" ht="15" x14ac:dyDescent="0.2">
      <c r="A6" s="188" t="s">
        <v>349</v>
      </c>
      <c r="B6" s="202">
        <v>0</v>
      </c>
      <c r="C6" s="36"/>
      <c r="F6" s="159" t="s">
        <v>98</v>
      </c>
      <c r="G6" s="285">
        <v>0.01</v>
      </c>
      <c r="H6" s="285">
        <v>0.01</v>
      </c>
      <c r="I6" s="285">
        <v>0.01</v>
      </c>
      <c r="J6" s="285">
        <v>0.01</v>
      </c>
      <c r="K6" s="285">
        <v>0.01</v>
      </c>
      <c r="L6" s="285">
        <v>0.01</v>
      </c>
      <c r="M6" s="285">
        <v>0.01</v>
      </c>
      <c r="N6" s="285">
        <v>0.01</v>
      </c>
      <c r="O6" s="285">
        <v>0.01</v>
      </c>
      <c r="P6" s="285">
        <v>0.01</v>
      </c>
      <c r="Q6" s="286">
        <v>0.01</v>
      </c>
      <c r="T6" s="250" t="s">
        <v>73</v>
      </c>
      <c r="U6" s="251">
        <v>2020</v>
      </c>
      <c r="V6" s="251">
        <v>2021</v>
      </c>
      <c r="W6" s="251">
        <v>2022</v>
      </c>
      <c r="X6" s="251">
        <v>2023</v>
      </c>
      <c r="Y6" s="251">
        <v>2024</v>
      </c>
      <c r="Z6" s="251">
        <v>2025</v>
      </c>
      <c r="AA6" s="251">
        <v>2026</v>
      </c>
      <c r="AB6" s="251">
        <v>2027</v>
      </c>
      <c r="AC6" s="251">
        <v>2028</v>
      </c>
      <c r="AD6" s="251">
        <v>2029</v>
      </c>
      <c r="AE6" s="251">
        <v>2030</v>
      </c>
      <c r="AG6" s="12" t="s">
        <v>363</v>
      </c>
      <c r="AI6" s="108" t="s">
        <v>197</v>
      </c>
      <c r="AJ6" s="109">
        <v>22808.068827187784</v>
      </c>
      <c r="AK6" s="110">
        <v>23036.149515459663</v>
      </c>
      <c r="AL6" s="110">
        <v>23266.51101061426</v>
      </c>
      <c r="AM6" s="110">
        <v>23499.176120720404</v>
      </c>
      <c r="AN6" s="110">
        <v>23734.167881927609</v>
      </c>
      <c r="AO6" s="110">
        <v>23971.509560746887</v>
      </c>
      <c r="AP6" s="110">
        <v>24211.224656354356</v>
      </c>
      <c r="AQ6" s="110">
        <v>24453.336902917901</v>
      </c>
      <c r="AR6" s="110">
        <v>24697.870271947082</v>
      </c>
      <c r="AS6" s="110">
        <v>24944.848974666555</v>
      </c>
      <c r="AT6" s="110">
        <v>25194.297464413219</v>
      </c>
    </row>
    <row r="7" spans="1:46" ht="15" x14ac:dyDescent="0.2">
      <c r="A7" s="190" t="s">
        <v>362</v>
      </c>
      <c r="B7" s="202">
        <v>0</v>
      </c>
      <c r="F7" s="159" t="s">
        <v>92</v>
      </c>
      <c r="G7" s="285">
        <v>0.01</v>
      </c>
      <c r="H7" s="285">
        <v>0.01</v>
      </c>
      <c r="I7" s="285">
        <v>0.01</v>
      </c>
      <c r="J7" s="285">
        <v>0.01</v>
      </c>
      <c r="K7" s="285">
        <v>0.01</v>
      </c>
      <c r="L7" s="285">
        <v>0.01</v>
      </c>
      <c r="M7" s="285">
        <v>0.01</v>
      </c>
      <c r="N7" s="285">
        <v>0.01</v>
      </c>
      <c r="O7" s="285">
        <v>0.01</v>
      </c>
      <c r="P7" s="285">
        <v>0.01</v>
      </c>
      <c r="Q7" s="286">
        <v>0.01</v>
      </c>
      <c r="T7" s="319" t="s">
        <v>44</v>
      </c>
      <c r="U7" s="253">
        <v>0.94399999999999995</v>
      </c>
      <c r="V7" s="253">
        <v>0.94399999999999995</v>
      </c>
      <c r="W7" s="253">
        <v>0.94399999999999995</v>
      </c>
      <c r="X7" s="253">
        <v>0.94399999999999995</v>
      </c>
      <c r="Y7" s="253">
        <v>0.94399999999999995</v>
      </c>
      <c r="Z7" s="253">
        <v>0.94399999999999995</v>
      </c>
      <c r="AA7" s="253">
        <v>0.94399999999999995</v>
      </c>
      <c r="AB7" s="253">
        <v>0.94399999999999995</v>
      </c>
      <c r="AC7" s="253">
        <v>0.94399999999999995</v>
      </c>
      <c r="AD7" s="253">
        <v>0.94399999999999995</v>
      </c>
      <c r="AE7" s="328">
        <v>0.94399999999999995</v>
      </c>
      <c r="AG7" s="12" t="s">
        <v>363</v>
      </c>
      <c r="AI7" s="108" t="s">
        <v>198</v>
      </c>
      <c r="AJ7" s="109">
        <v>11466.269686555626</v>
      </c>
      <c r="AK7" s="110">
        <v>11624.264254815205</v>
      </c>
      <c r="AL7" s="110">
        <v>11779.505581617977</v>
      </c>
      <c r="AM7" s="110">
        <v>11932.399453263315</v>
      </c>
      <c r="AN7" s="110">
        <v>12083.312382042192</v>
      </c>
      <c r="AO7" s="110">
        <v>12232.575546684233</v>
      </c>
      <c r="AP7" s="110">
        <v>12380.488338890531</v>
      </c>
      <c r="AQ7" s="110">
        <v>12527.321555344948</v>
      </c>
      <c r="AR7" s="110">
        <v>12673.320270657357</v>
      </c>
      <c r="AS7" s="110">
        <v>12818.706423146996</v>
      </c>
      <c r="AT7" s="110">
        <v>12963.681142183223</v>
      </c>
    </row>
    <row r="8" spans="1:46" ht="15" x14ac:dyDescent="0.2">
      <c r="A8" s="188" t="s">
        <v>397</v>
      </c>
      <c r="B8" s="202">
        <v>0</v>
      </c>
      <c r="C8" s="36"/>
      <c r="F8" s="159" t="s">
        <v>97</v>
      </c>
      <c r="G8" s="285">
        <v>0.01</v>
      </c>
      <c r="H8" s="285">
        <v>0.01</v>
      </c>
      <c r="I8" s="285">
        <v>0.01</v>
      </c>
      <c r="J8" s="285">
        <v>0.01</v>
      </c>
      <c r="K8" s="285">
        <v>0.01</v>
      </c>
      <c r="L8" s="285">
        <v>0.01</v>
      </c>
      <c r="M8" s="285">
        <v>0.01</v>
      </c>
      <c r="N8" s="285">
        <v>0.01</v>
      </c>
      <c r="O8" s="285">
        <v>0.01</v>
      </c>
      <c r="P8" s="285">
        <v>0.01</v>
      </c>
      <c r="Q8" s="286">
        <v>0.01</v>
      </c>
      <c r="T8" s="319" t="s">
        <v>67</v>
      </c>
      <c r="U8" s="253">
        <v>3.9E-2</v>
      </c>
      <c r="V8" s="253">
        <v>3.9E-2</v>
      </c>
      <c r="W8" s="253">
        <v>3.9E-2</v>
      </c>
      <c r="X8" s="253">
        <v>3.9E-2</v>
      </c>
      <c r="Y8" s="253">
        <v>3.9E-2</v>
      </c>
      <c r="Z8" s="253">
        <v>3.9E-2</v>
      </c>
      <c r="AA8" s="253">
        <v>3.9E-2</v>
      </c>
      <c r="AB8" s="253">
        <v>3.9E-2</v>
      </c>
      <c r="AC8" s="253">
        <v>3.9E-2</v>
      </c>
      <c r="AD8" s="253">
        <v>3.9E-2</v>
      </c>
      <c r="AE8" s="111">
        <v>3.9E-2</v>
      </c>
      <c r="AG8" s="12" t="s">
        <v>363</v>
      </c>
      <c r="AI8" s="108" t="s">
        <v>199</v>
      </c>
      <c r="AJ8" s="109">
        <v>11341.799140632158</v>
      </c>
      <c r="AK8" s="110">
        <v>11411.885260644458</v>
      </c>
      <c r="AL8" s="110">
        <v>11487.005428996281</v>
      </c>
      <c r="AM8" s="110">
        <v>11566.776667457085</v>
      </c>
      <c r="AN8" s="110">
        <v>11650.855499885414</v>
      </c>
      <c r="AO8" s="110">
        <v>11738.93401406265</v>
      </c>
      <c r="AP8" s="110">
        <v>11830.736317463819</v>
      </c>
      <c r="AQ8" s="110">
        <v>11926.015347572949</v>
      </c>
      <c r="AR8" s="110">
        <v>12024.550001289719</v>
      </c>
      <c r="AS8" s="110">
        <v>12126.142551519553</v>
      </c>
      <c r="AT8" s="110">
        <v>12230.616322229991</v>
      </c>
    </row>
    <row r="9" spans="1:46" ht="16.5" thickBot="1" x14ac:dyDescent="0.3">
      <c r="A9" s="189" t="s">
        <v>351</v>
      </c>
      <c r="B9" s="203">
        <v>0</v>
      </c>
      <c r="C9" s="36"/>
      <c r="F9" s="496" t="s">
        <v>278</v>
      </c>
      <c r="G9" s="497"/>
      <c r="H9" s="497"/>
      <c r="I9" s="497"/>
      <c r="J9" s="497"/>
      <c r="K9" s="497"/>
      <c r="L9" s="497"/>
      <c r="M9" s="497"/>
      <c r="N9" s="497"/>
      <c r="O9" s="497"/>
      <c r="P9" s="497"/>
      <c r="Q9" s="498"/>
      <c r="T9" s="319" t="s">
        <v>60</v>
      </c>
      <c r="U9" s="253">
        <v>1.4999999999999999E-2</v>
      </c>
      <c r="V9" s="253">
        <v>1.4999999999999999E-2</v>
      </c>
      <c r="W9" s="253">
        <v>1.4999999999999999E-2</v>
      </c>
      <c r="X9" s="253">
        <v>1.4999999999999999E-2</v>
      </c>
      <c r="Y9" s="253">
        <v>1.4999999999999999E-2</v>
      </c>
      <c r="Z9" s="253">
        <v>1.4999999999999999E-2</v>
      </c>
      <c r="AA9" s="253">
        <v>1.4999999999999999E-2</v>
      </c>
      <c r="AB9" s="253">
        <v>1.4999999999999999E-2</v>
      </c>
      <c r="AC9" s="253">
        <v>1.4999999999999999E-2</v>
      </c>
      <c r="AD9" s="253">
        <v>1.4999999999999999E-2</v>
      </c>
      <c r="AE9" s="111">
        <v>1.4999999999999999E-2</v>
      </c>
      <c r="AG9" s="12" t="s">
        <v>363</v>
      </c>
      <c r="AI9" s="73" t="s">
        <v>200</v>
      </c>
      <c r="AJ9" s="104">
        <v>1187.2486740499278</v>
      </c>
      <c r="AK9" s="104">
        <v>1146.6269686555627</v>
      </c>
      <c r="AL9" s="104">
        <v>1162.4264254815205</v>
      </c>
      <c r="AM9" s="104">
        <v>1177.9505581617977</v>
      </c>
      <c r="AN9" s="104">
        <v>1193.2399453263315</v>
      </c>
      <c r="AO9" s="104">
        <v>1208.3312382042193</v>
      </c>
      <c r="AP9" s="104">
        <v>1223.2575546684234</v>
      </c>
      <c r="AQ9" s="104">
        <v>1238.0488338890532</v>
      </c>
      <c r="AR9" s="104">
        <v>1252.732155534495</v>
      </c>
      <c r="AS9" s="104">
        <v>1267.3320270657359</v>
      </c>
      <c r="AT9" s="104">
        <v>1281.8706423146996</v>
      </c>
    </row>
    <row r="10" spans="1:46" ht="15" x14ac:dyDescent="0.2">
      <c r="A10" s="191" t="s">
        <v>350</v>
      </c>
      <c r="B10" s="204">
        <v>0</v>
      </c>
      <c r="C10" s="36"/>
      <c r="E10" s="7"/>
      <c r="F10" s="159" t="s">
        <v>275</v>
      </c>
      <c r="G10" s="284">
        <v>0</v>
      </c>
      <c r="H10" s="284">
        <v>0</v>
      </c>
      <c r="I10" s="284">
        <v>0</v>
      </c>
      <c r="J10" s="284">
        <v>0</v>
      </c>
      <c r="K10" s="284">
        <v>0</v>
      </c>
      <c r="L10" s="284">
        <v>0</v>
      </c>
      <c r="M10" s="284">
        <v>0</v>
      </c>
      <c r="N10" s="284">
        <v>0</v>
      </c>
      <c r="O10" s="284">
        <v>0</v>
      </c>
      <c r="P10" s="284">
        <v>0</v>
      </c>
      <c r="Q10" s="287">
        <v>0</v>
      </c>
      <c r="T10" s="319" t="s">
        <v>68</v>
      </c>
      <c r="U10" s="253">
        <v>2E-3</v>
      </c>
      <c r="V10" s="253">
        <v>2E-3</v>
      </c>
      <c r="W10" s="253">
        <v>2E-3</v>
      </c>
      <c r="X10" s="253">
        <v>2E-3</v>
      </c>
      <c r="Y10" s="253">
        <v>2E-3</v>
      </c>
      <c r="Z10" s="253">
        <v>2E-3</v>
      </c>
      <c r="AA10" s="253">
        <v>2E-3</v>
      </c>
      <c r="AB10" s="253">
        <v>2E-3</v>
      </c>
      <c r="AC10" s="253">
        <v>2E-3</v>
      </c>
      <c r="AD10" s="253">
        <v>2E-3</v>
      </c>
      <c r="AE10" s="111">
        <v>2E-3</v>
      </c>
      <c r="AG10" s="12" t="s">
        <v>363</v>
      </c>
      <c r="AI10" s="73" t="s">
        <v>201</v>
      </c>
      <c r="AJ10" s="104">
        <v>1078.173874667257</v>
      </c>
      <c r="AK10" s="75">
        <v>1134.1799140632158</v>
      </c>
      <c r="AL10" s="75">
        <v>1141.1885260644458</v>
      </c>
      <c r="AM10" s="75">
        <v>1148.7005428996281</v>
      </c>
      <c r="AN10" s="75">
        <v>1156.6776667457086</v>
      </c>
      <c r="AO10" s="75">
        <v>1165.0855499885415</v>
      </c>
      <c r="AP10" s="75">
        <v>1173.893401406265</v>
      </c>
      <c r="AQ10" s="75">
        <v>1183.073631746382</v>
      </c>
      <c r="AR10" s="75">
        <v>1192.601534757295</v>
      </c>
      <c r="AS10" s="75">
        <v>1202.455000128972</v>
      </c>
      <c r="AT10" s="75">
        <v>1212.6142551519554</v>
      </c>
    </row>
    <row r="11" spans="1:46" ht="15" x14ac:dyDescent="0.2">
      <c r="A11" s="192" t="s">
        <v>353</v>
      </c>
      <c r="B11" s="201">
        <v>0</v>
      </c>
      <c r="E11" s="7"/>
      <c r="F11" s="159" t="s">
        <v>274</v>
      </c>
      <c r="G11" s="284">
        <v>0</v>
      </c>
      <c r="H11" s="284">
        <v>0</v>
      </c>
      <c r="I11" s="284">
        <v>0</v>
      </c>
      <c r="J11" s="284">
        <v>0</v>
      </c>
      <c r="K11" s="284">
        <v>0</v>
      </c>
      <c r="L11" s="284">
        <v>0</v>
      </c>
      <c r="M11" s="284">
        <v>0</v>
      </c>
      <c r="N11" s="284">
        <v>0</v>
      </c>
      <c r="O11" s="284">
        <v>0</v>
      </c>
      <c r="P11" s="284">
        <v>0</v>
      </c>
      <c r="Q11" s="287">
        <v>0</v>
      </c>
      <c r="T11" s="246" t="s">
        <v>69</v>
      </c>
      <c r="U11" s="260">
        <v>2020</v>
      </c>
      <c r="V11" s="261">
        <v>2021</v>
      </c>
      <c r="W11" s="261">
        <v>2022</v>
      </c>
      <c r="X11" s="261">
        <v>2023</v>
      </c>
      <c r="Y11" s="261">
        <v>2024</v>
      </c>
      <c r="Z11" s="261">
        <v>2025</v>
      </c>
      <c r="AA11" s="261">
        <v>2026</v>
      </c>
      <c r="AB11" s="261">
        <v>2027</v>
      </c>
      <c r="AC11" s="261">
        <v>2028</v>
      </c>
      <c r="AD11" s="261">
        <v>2029</v>
      </c>
      <c r="AE11" s="260">
        <v>2030</v>
      </c>
      <c r="AG11" s="12" t="s">
        <v>363</v>
      </c>
      <c r="AI11" s="76" t="s">
        <v>202</v>
      </c>
      <c r="AJ11" s="77">
        <v>153.84334001593743</v>
      </c>
      <c r="AK11" s="77">
        <v>228.0806882718789</v>
      </c>
      <c r="AL11" s="77">
        <v>230.36149515459692</v>
      </c>
      <c r="AM11" s="77">
        <v>232.6651101061434</v>
      </c>
      <c r="AN11" s="77">
        <v>234.99176120720585</v>
      </c>
      <c r="AO11" s="77">
        <v>237.34167881927715</v>
      </c>
      <c r="AP11" s="77">
        <v>239.71509560746927</v>
      </c>
      <c r="AQ11" s="77">
        <v>242.11224656354534</v>
      </c>
      <c r="AR11" s="77">
        <v>244.5333690291809</v>
      </c>
      <c r="AS11" s="77">
        <v>246.97870271947249</v>
      </c>
      <c r="AT11" s="77">
        <v>249.44848974666456</v>
      </c>
    </row>
    <row r="12" spans="1:46" ht="15.75" thickBot="1" x14ac:dyDescent="0.25">
      <c r="A12" s="192" t="s">
        <v>354</v>
      </c>
      <c r="B12" s="205">
        <v>0</v>
      </c>
      <c r="E12" s="7"/>
      <c r="F12" s="289" t="s">
        <v>276</v>
      </c>
      <c r="G12" s="284">
        <v>0</v>
      </c>
      <c r="H12" s="284">
        <v>0</v>
      </c>
      <c r="I12" s="284">
        <v>0</v>
      </c>
      <c r="J12" s="284">
        <v>0</v>
      </c>
      <c r="K12" s="284">
        <v>0</v>
      </c>
      <c r="L12" s="284">
        <v>0</v>
      </c>
      <c r="M12" s="284">
        <v>0</v>
      </c>
      <c r="N12" s="284">
        <v>0</v>
      </c>
      <c r="O12" s="284">
        <v>0</v>
      </c>
      <c r="P12" s="284">
        <v>0</v>
      </c>
      <c r="Q12" s="287">
        <v>0</v>
      </c>
      <c r="T12" s="248" t="s">
        <v>44</v>
      </c>
      <c r="U12" s="247">
        <v>1.5</v>
      </c>
      <c r="V12" s="247">
        <v>1.5</v>
      </c>
      <c r="W12" s="247">
        <v>1.5</v>
      </c>
      <c r="X12" s="247">
        <v>1.5</v>
      </c>
      <c r="Y12" s="247">
        <v>1.5</v>
      </c>
      <c r="Z12" s="247">
        <v>1.5</v>
      </c>
      <c r="AA12" s="247">
        <v>1.5</v>
      </c>
      <c r="AB12" s="247">
        <v>1.5</v>
      </c>
      <c r="AC12" s="247">
        <v>1.5</v>
      </c>
      <c r="AD12" s="247">
        <v>1.5</v>
      </c>
      <c r="AE12" s="247">
        <v>1.5</v>
      </c>
      <c r="AG12" s="12" t="s">
        <v>363</v>
      </c>
      <c r="AI12" s="78" t="s">
        <v>203</v>
      </c>
      <c r="AJ12" s="79">
        <v>2419.2658887331222</v>
      </c>
      <c r="AK12" s="79">
        <v>2508.8875709906574</v>
      </c>
      <c r="AL12" s="79">
        <v>2533.9764467005634</v>
      </c>
      <c r="AM12" s="79">
        <v>2559.3162111675692</v>
      </c>
      <c r="AN12" s="79">
        <v>2584.9093732792462</v>
      </c>
      <c r="AO12" s="79">
        <v>2610.7584670120377</v>
      </c>
      <c r="AP12" s="79">
        <v>2636.8660516821574</v>
      </c>
      <c r="AQ12" s="79">
        <v>2663.2347121989806</v>
      </c>
      <c r="AR12" s="79">
        <v>2689.8670593209708</v>
      </c>
      <c r="AS12" s="79">
        <v>2716.7657299141802</v>
      </c>
      <c r="AT12" s="79">
        <v>2743.9333872133193</v>
      </c>
    </row>
    <row r="13" spans="1:46" ht="15.75" thickBot="1" x14ac:dyDescent="0.25">
      <c r="A13" s="193" t="s">
        <v>312</v>
      </c>
      <c r="B13" s="194">
        <v>0</v>
      </c>
      <c r="E13" s="7"/>
      <c r="F13" s="443" t="s">
        <v>367</v>
      </c>
      <c r="G13" s="444"/>
      <c r="H13" s="444"/>
      <c r="I13" s="444"/>
      <c r="J13" s="444"/>
      <c r="K13" s="444"/>
      <c r="L13" s="444"/>
      <c r="M13" s="444"/>
      <c r="N13" s="444"/>
      <c r="O13" s="444"/>
      <c r="P13" s="444"/>
      <c r="Q13" s="445"/>
      <c r="T13" s="248" t="s">
        <v>67</v>
      </c>
      <c r="U13" s="247">
        <v>20</v>
      </c>
      <c r="V13" s="249">
        <v>20</v>
      </c>
      <c r="W13" s="249">
        <v>20</v>
      </c>
      <c r="X13" s="249">
        <v>20</v>
      </c>
      <c r="Y13" s="249">
        <v>20</v>
      </c>
      <c r="Z13" s="249">
        <v>20</v>
      </c>
      <c r="AA13" s="249">
        <v>20</v>
      </c>
      <c r="AB13" s="249">
        <v>20</v>
      </c>
      <c r="AC13" s="249">
        <v>20</v>
      </c>
      <c r="AD13" s="249">
        <v>20</v>
      </c>
      <c r="AE13" s="247">
        <v>20</v>
      </c>
      <c r="AG13" s="12" t="s">
        <v>363</v>
      </c>
      <c r="AI13" s="69" t="s">
        <v>89</v>
      </c>
      <c r="AJ13" s="46">
        <v>0.52</v>
      </c>
      <c r="AK13" s="46">
        <v>0.52</v>
      </c>
      <c r="AL13" s="46">
        <v>0.52</v>
      </c>
      <c r="AM13" s="46">
        <v>0.52</v>
      </c>
      <c r="AN13" s="46">
        <v>0.52</v>
      </c>
      <c r="AO13" s="46">
        <v>0.52</v>
      </c>
      <c r="AP13" s="46">
        <v>0.52</v>
      </c>
      <c r="AQ13" s="46">
        <v>0.52</v>
      </c>
      <c r="AR13" s="46">
        <v>0.52</v>
      </c>
      <c r="AS13" s="46">
        <v>0.52</v>
      </c>
      <c r="AT13" s="46">
        <v>0.52</v>
      </c>
    </row>
    <row r="14" spans="1:46" ht="18.75" thickBot="1" x14ac:dyDescent="0.3">
      <c r="A14" s="199"/>
      <c r="B14" s="19"/>
      <c r="C14" s="19"/>
      <c r="E14" s="7"/>
      <c r="F14" s="160" t="s">
        <v>366</v>
      </c>
      <c r="G14" s="291">
        <v>0</v>
      </c>
      <c r="H14" s="291">
        <v>0.01</v>
      </c>
      <c r="I14" s="291">
        <v>0.02</v>
      </c>
      <c r="J14" s="291">
        <v>0.05</v>
      </c>
      <c r="K14" s="291">
        <v>0.1</v>
      </c>
      <c r="L14" s="291">
        <v>0.12</v>
      </c>
      <c r="M14" s="291">
        <v>0.14000000000000001</v>
      </c>
      <c r="N14" s="291">
        <v>0.14000000000000001</v>
      </c>
      <c r="O14" s="291">
        <v>0.14000000000000001</v>
      </c>
      <c r="P14" s="291">
        <v>0.14000000000000001</v>
      </c>
      <c r="Q14" s="292">
        <v>0.14000000000000001</v>
      </c>
      <c r="R14" s="112">
        <v>1</v>
      </c>
      <c r="T14" s="248" t="s">
        <v>60</v>
      </c>
      <c r="U14" s="247">
        <v>40</v>
      </c>
      <c r="V14" s="249">
        <v>40</v>
      </c>
      <c r="W14" s="249">
        <v>40</v>
      </c>
      <c r="X14" s="249">
        <v>40</v>
      </c>
      <c r="Y14" s="249">
        <v>40</v>
      </c>
      <c r="Z14" s="249">
        <v>40</v>
      </c>
      <c r="AA14" s="249">
        <v>40</v>
      </c>
      <c r="AB14" s="249">
        <v>40</v>
      </c>
      <c r="AC14" s="249">
        <v>40</v>
      </c>
      <c r="AD14" s="249">
        <v>40</v>
      </c>
      <c r="AE14" s="247">
        <v>40</v>
      </c>
      <c r="AG14" s="12" t="s">
        <v>363</v>
      </c>
      <c r="AI14" s="69" t="s">
        <v>90</v>
      </c>
      <c r="AJ14" s="46">
        <v>0.48</v>
      </c>
      <c r="AK14" s="46">
        <v>0.48</v>
      </c>
      <c r="AL14" s="46">
        <v>0.48</v>
      </c>
      <c r="AM14" s="46">
        <v>0.48</v>
      </c>
      <c r="AN14" s="46">
        <v>0.48</v>
      </c>
      <c r="AO14" s="46">
        <v>0.48</v>
      </c>
      <c r="AP14" s="46">
        <v>0.48</v>
      </c>
      <c r="AQ14" s="46">
        <v>0.48</v>
      </c>
      <c r="AR14" s="46">
        <v>0.48</v>
      </c>
      <c r="AS14" s="46">
        <v>0.48</v>
      </c>
      <c r="AT14" s="46">
        <v>0.48</v>
      </c>
    </row>
    <row r="15" spans="1:46" ht="18.75" thickBot="1" x14ac:dyDescent="0.3">
      <c r="A15" s="199"/>
      <c r="B15" s="163"/>
      <c r="C15" s="163"/>
      <c r="D15" s="163"/>
      <c r="E15" s="163"/>
      <c r="F15" s="443" t="s">
        <v>395</v>
      </c>
      <c r="G15" s="444"/>
      <c r="H15" s="444"/>
      <c r="I15" s="444"/>
      <c r="J15" s="444"/>
      <c r="K15" s="444"/>
      <c r="L15" s="444"/>
      <c r="M15" s="444"/>
      <c r="N15" s="444"/>
      <c r="O15" s="444"/>
      <c r="P15" s="444"/>
      <c r="Q15" s="445"/>
      <c r="R15" s="310"/>
      <c r="T15" s="248" t="s">
        <v>68</v>
      </c>
      <c r="U15" s="247">
        <v>1</v>
      </c>
      <c r="V15" s="249">
        <v>1</v>
      </c>
      <c r="W15" s="249">
        <v>1</v>
      </c>
      <c r="X15" s="249">
        <v>1</v>
      </c>
      <c r="Y15" s="249">
        <v>1</v>
      </c>
      <c r="Z15" s="249">
        <v>1</v>
      </c>
      <c r="AA15" s="249">
        <v>1</v>
      </c>
      <c r="AB15" s="249">
        <v>1</v>
      </c>
      <c r="AC15" s="249">
        <v>1</v>
      </c>
      <c r="AD15" s="249">
        <v>1</v>
      </c>
      <c r="AE15" s="247">
        <v>1</v>
      </c>
      <c r="AG15" s="12" t="s">
        <v>363</v>
      </c>
      <c r="AI15" s="69" t="s">
        <v>91</v>
      </c>
      <c r="AJ15" s="46">
        <v>0.01</v>
      </c>
      <c r="AK15" s="46">
        <v>0.01</v>
      </c>
      <c r="AL15" s="46">
        <v>0.01</v>
      </c>
      <c r="AM15" s="46">
        <v>0.01</v>
      </c>
      <c r="AN15" s="46">
        <v>0.01</v>
      </c>
      <c r="AO15" s="46">
        <v>0.01</v>
      </c>
      <c r="AP15" s="46">
        <v>0.01</v>
      </c>
      <c r="AQ15" s="46">
        <v>0.01</v>
      </c>
      <c r="AR15" s="46">
        <v>0.01</v>
      </c>
      <c r="AS15" s="46">
        <v>0.01</v>
      </c>
      <c r="AT15" s="46">
        <v>0.01</v>
      </c>
    </row>
    <row r="16" spans="1:46" ht="21" thickBot="1" x14ac:dyDescent="0.35">
      <c r="A16" s="491" t="s">
        <v>236</v>
      </c>
      <c r="B16" s="492"/>
      <c r="C16" s="493"/>
      <c r="E16" s="7"/>
      <c r="F16" s="160" t="s">
        <v>396</v>
      </c>
      <c r="G16" s="291">
        <v>0</v>
      </c>
      <c r="H16" s="291">
        <v>0.01</v>
      </c>
      <c r="I16" s="291">
        <v>0.02</v>
      </c>
      <c r="J16" s="291">
        <v>0.05</v>
      </c>
      <c r="K16" s="291">
        <v>0.1</v>
      </c>
      <c r="L16" s="291">
        <v>0.12</v>
      </c>
      <c r="M16" s="291">
        <v>0.14000000000000001</v>
      </c>
      <c r="N16" s="291">
        <v>0.14000000000000001</v>
      </c>
      <c r="O16" s="291">
        <v>0.14000000000000001</v>
      </c>
      <c r="P16" s="291">
        <v>0.14000000000000001</v>
      </c>
      <c r="Q16" s="292">
        <v>0.14000000000000001</v>
      </c>
      <c r="R16" s="112">
        <v>1</v>
      </c>
      <c r="T16" s="241" t="s">
        <v>96</v>
      </c>
      <c r="U16" s="242">
        <v>2020</v>
      </c>
      <c r="V16" s="242">
        <v>2021</v>
      </c>
      <c r="W16" s="242">
        <v>2022</v>
      </c>
      <c r="X16" s="242">
        <v>2023</v>
      </c>
      <c r="Y16" s="242">
        <v>2024</v>
      </c>
      <c r="Z16" s="242">
        <v>2025</v>
      </c>
      <c r="AA16" s="242">
        <v>2026</v>
      </c>
      <c r="AB16" s="242">
        <v>2027</v>
      </c>
      <c r="AC16" s="242">
        <v>2028</v>
      </c>
      <c r="AD16" s="242">
        <v>2029</v>
      </c>
      <c r="AE16" s="242">
        <v>2030</v>
      </c>
      <c r="AG16" s="12" t="s">
        <v>363</v>
      </c>
      <c r="AI16" s="69" t="s">
        <v>98</v>
      </c>
      <c r="AJ16" s="46">
        <v>0.01</v>
      </c>
      <c r="AK16" s="46">
        <v>0.01</v>
      </c>
      <c r="AL16" s="46">
        <v>0.01</v>
      </c>
      <c r="AM16" s="46">
        <v>0.01</v>
      </c>
      <c r="AN16" s="46">
        <v>0.01</v>
      </c>
      <c r="AO16" s="46">
        <v>0.01</v>
      </c>
      <c r="AP16" s="46">
        <v>0.01</v>
      </c>
      <c r="AQ16" s="46">
        <v>0.01</v>
      </c>
      <c r="AR16" s="46">
        <v>0.01</v>
      </c>
      <c r="AS16" s="46">
        <v>0.01</v>
      </c>
      <c r="AT16" s="46">
        <v>0.01</v>
      </c>
    </row>
    <row r="17" spans="1:46" ht="16.5" thickBot="1" x14ac:dyDescent="0.3">
      <c r="A17" s="501" t="s">
        <v>233</v>
      </c>
      <c r="B17" s="502"/>
      <c r="C17" s="503"/>
      <c r="E17" s="7"/>
      <c r="T17" s="243" t="s">
        <v>44</v>
      </c>
      <c r="U17" s="244">
        <v>380620.79999999999</v>
      </c>
      <c r="V17" s="245">
        <v>382634.66666666669</v>
      </c>
      <c r="W17" s="245">
        <v>386148.51023774029</v>
      </c>
      <c r="X17" s="245">
        <v>389694.62243922713</v>
      </c>
      <c r="Y17" s="245">
        <v>393273.2996031887</v>
      </c>
      <c r="Z17" s="245">
        <v>396884.84078298835</v>
      </c>
      <c r="AA17" s="245">
        <v>400529.54777828214</v>
      </c>
      <c r="AB17" s="245">
        <v>404207.72516023851</v>
      </c>
      <c r="AC17" s="245">
        <v>407919.68029699015</v>
      </c>
      <c r="AD17" s="245">
        <v>411665.7233793193</v>
      </c>
      <c r="AE17" s="244">
        <v>415446.16744657879</v>
      </c>
      <c r="AG17" s="12" t="s">
        <v>363</v>
      </c>
      <c r="AI17" s="69" t="s">
        <v>92</v>
      </c>
      <c r="AJ17" s="46">
        <v>0.01</v>
      </c>
      <c r="AK17" s="46">
        <v>0.01</v>
      </c>
      <c r="AL17" s="46">
        <v>0.01</v>
      </c>
      <c r="AM17" s="46">
        <v>0.01</v>
      </c>
      <c r="AN17" s="46">
        <v>0.01</v>
      </c>
      <c r="AO17" s="46">
        <v>0.01</v>
      </c>
      <c r="AP17" s="46">
        <v>0.01</v>
      </c>
      <c r="AQ17" s="46">
        <v>0.01</v>
      </c>
      <c r="AR17" s="46">
        <v>0.01</v>
      </c>
      <c r="AS17" s="46">
        <v>0.01</v>
      </c>
      <c r="AT17" s="46">
        <v>0.01</v>
      </c>
    </row>
    <row r="18" spans="1:46" ht="21" thickBot="1" x14ac:dyDescent="0.35">
      <c r="A18" s="499" t="s">
        <v>234</v>
      </c>
      <c r="B18" s="500"/>
      <c r="C18" s="265">
        <v>2000</v>
      </c>
      <c r="E18" s="7"/>
      <c r="F18" s="457" t="s">
        <v>223</v>
      </c>
      <c r="G18" s="458"/>
      <c r="H18" s="458"/>
      <c r="I18" s="458"/>
      <c r="J18" s="459"/>
      <c r="T18" s="243" t="s">
        <v>67</v>
      </c>
      <c r="U18" s="244">
        <v>1179.3600000000001</v>
      </c>
      <c r="V18" s="245">
        <v>1185.5999999999999</v>
      </c>
      <c r="W18" s="245">
        <v>1196.4877038616423</v>
      </c>
      <c r="X18" s="245">
        <v>1207.475392621546</v>
      </c>
      <c r="Y18" s="245">
        <v>1218.5639844696261</v>
      </c>
      <c r="Z18" s="245">
        <v>1229.7544060277978</v>
      </c>
      <c r="AA18" s="245">
        <v>1241.0475924274103</v>
      </c>
      <c r="AB18" s="245">
        <v>1252.4444873873915</v>
      </c>
      <c r="AC18" s="245">
        <v>1263.9460432931105</v>
      </c>
      <c r="AD18" s="245">
        <v>1275.5532212759631</v>
      </c>
      <c r="AE18" s="244">
        <v>1287.2669912936894</v>
      </c>
      <c r="AG18" s="12" t="s">
        <v>363</v>
      </c>
      <c r="AH18" s="12" t="s">
        <v>190</v>
      </c>
      <c r="AI18" s="69" t="s">
        <v>97</v>
      </c>
      <c r="AJ18" s="46">
        <v>0.01</v>
      </c>
      <c r="AK18" s="46">
        <v>0.01</v>
      </c>
      <c r="AL18" s="46">
        <v>0.01</v>
      </c>
      <c r="AM18" s="46">
        <v>0.01</v>
      </c>
      <c r="AN18" s="46">
        <v>0.01</v>
      </c>
      <c r="AO18" s="46">
        <v>0.01</v>
      </c>
      <c r="AP18" s="46">
        <v>0.01</v>
      </c>
      <c r="AQ18" s="46">
        <v>0.01</v>
      </c>
      <c r="AR18" s="46">
        <v>0.01</v>
      </c>
      <c r="AS18" s="46">
        <v>0.01</v>
      </c>
      <c r="AT18" s="46">
        <v>0.01</v>
      </c>
    </row>
    <row r="19" spans="1:46" ht="20.25" x14ac:dyDescent="0.25">
      <c r="A19" s="499" t="s">
        <v>237</v>
      </c>
      <c r="B19" s="500"/>
      <c r="C19" s="266">
        <v>0</v>
      </c>
      <c r="E19" s="7"/>
      <c r="F19" s="312" t="s">
        <v>341</v>
      </c>
      <c r="G19" s="504">
        <v>2020</v>
      </c>
      <c r="H19" s="504"/>
      <c r="I19" s="463">
        <v>2030</v>
      </c>
      <c r="J19" s="463"/>
      <c r="T19" s="243" t="s">
        <v>60</v>
      </c>
      <c r="U19" s="244">
        <v>226.8</v>
      </c>
      <c r="V19" s="245">
        <v>228</v>
      </c>
      <c r="W19" s="245">
        <v>230.09378920416196</v>
      </c>
      <c r="X19" s="245">
        <v>232.20680627337424</v>
      </c>
      <c r="Y19" s="245">
        <v>234.33922778262041</v>
      </c>
      <c r="Z19" s="245">
        <v>236.49123192842262</v>
      </c>
      <c r="AA19" s="245">
        <v>238.66299854373273</v>
      </c>
      <c r="AB19" s="245">
        <v>240.85470911295994</v>
      </c>
      <c r="AC19" s="245">
        <v>243.06654678713662</v>
      </c>
      <c r="AD19" s="245">
        <v>245.29869639922362</v>
      </c>
      <c r="AE19" s="244">
        <v>247.55134447955567</v>
      </c>
      <c r="AG19" s="12" t="s">
        <v>363</v>
      </c>
      <c r="AI19" s="69" t="s">
        <v>99</v>
      </c>
      <c r="AJ19" s="206">
        <v>0.5</v>
      </c>
      <c r="AK19" s="206">
        <v>0.5</v>
      </c>
      <c r="AL19" s="206">
        <v>0.5</v>
      </c>
      <c r="AM19" s="206">
        <v>0.5</v>
      </c>
      <c r="AN19" s="206">
        <v>0.5</v>
      </c>
      <c r="AO19" s="206">
        <v>0.5</v>
      </c>
      <c r="AP19" s="206">
        <v>0.5</v>
      </c>
      <c r="AQ19" s="206">
        <v>0.5</v>
      </c>
      <c r="AR19" s="206">
        <v>0.5</v>
      </c>
      <c r="AS19" s="206">
        <v>0.5</v>
      </c>
      <c r="AT19" s="206">
        <v>0.5</v>
      </c>
    </row>
    <row r="20" spans="1:46" x14ac:dyDescent="0.2">
      <c r="A20" s="499" t="s">
        <v>315</v>
      </c>
      <c r="B20" s="500"/>
      <c r="C20" s="165">
        <v>0</v>
      </c>
      <c r="E20" s="7"/>
      <c r="F20" s="181" t="s">
        <v>321</v>
      </c>
      <c r="G20" s="440">
        <v>604800</v>
      </c>
      <c r="H20" s="441"/>
      <c r="I20" s="440">
        <v>660136.9186121485</v>
      </c>
      <c r="J20" s="441"/>
      <c r="T20" s="243" t="s">
        <v>68</v>
      </c>
      <c r="U20" s="244">
        <v>1209.6000000000001</v>
      </c>
      <c r="V20" s="245">
        <v>1216</v>
      </c>
      <c r="W20" s="245">
        <v>1227.1668757555306</v>
      </c>
      <c r="X20" s="245">
        <v>1238.4363001246627</v>
      </c>
      <c r="Y20" s="245">
        <v>1249.8092148406422</v>
      </c>
      <c r="Z20" s="245">
        <v>1261.2865702849208</v>
      </c>
      <c r="AA20" s="245">
        <v>1272.8693255665746</v>
      </c>
      <c r="AB20" s="245">
        <v>1284.5584486024529</v>
      </c>
      <c r="AC20" s="245">
        <v>1296.354916198062</v>
      </c>
      <c r="AD20" s="245">
        <v>1308.2597141291928</v>
      </c>
      <c r="AE20" s="244">
        <v>1320.273837224297</v>
      </c>
      <c r="AG20" s="12" t="s">
        <v>363</v>
      </c>
      <c r="AI20" s="69" t="s">
        <v>204</v>
      </c>
      <c r="AJ20" s="207">
        <v>12.705984447626358</v>
      </c>
      <c r="AK20" s="207">
        <v>13.176677522842933</v>
      </c>
      <c r="AL20" s="207">
        <v>13.308444298071359</v>
      </c>
      <c r="AM20" s="207">
        <v>13.441528741052073</v>
      </c>
      <c r="AN20" s="207">
        <v>13.575944028462603</v>
      </c>
      <c r="AO20" s="207">
        <v>13.711703468747222</v>
      </c>
      <c r="AP20" s="207">
        <v>13.848820503434691</v>
      </c>
      <c r="AQ20" s="207">
        <v>13.987308708469046</v>
      </c>
      <c r="AR20" s="207">
        <v>14.12718179555374</v>
      </c>
      <c r="AS20" s="207">
        <v>14.268453613509275</v>
      </c>
      <c r="AT20" s="207">
        <v>14.411138149644353</v>
      </c>
    </row>
    <row r="21" spans="1:46" ht="15.75" thickBot="1" x14ac:dyDescent="0.3">
      <c r="A21" s="499" t="s">
        <v>303</v>
      </c>
      <c r="B21" s="500"/>
      <c r="C21" s="141">
        <v>0</v>
      </c>
      <c r="E21" s="7"/>
      <c r="F21" s="475" t="s">
        <v>96</v>
      </c>
      <c r="G21" s="476"/>
      <c r="H21" s="476"/>
      <c r="I21" s="476"/>
      <c r="J21" s="477"/>
      <c r="T21" s="221" t="s">
        <v>80</v>
      </c>
      <c r="U21" s="222">
        <v>2020</v>
      </c>
      <c r="V21" s="222">
        <v>2021</v>
      </c>
      <c r="W21" s="222">
        <v>2022</v>
      </c>
      <c r="X21" s="222">
        <v>2023</v>
      </c>
      <c r="Y21" s="222">
        <v>2024</v>
      </c>
      <c r="Z21" s="222">
        <v>2025</v>
      </c>
      <c r="AA21" s="222">
        <v>2026</v>
      </c>
      <c r="AB21" s="222">
        <v>2027</v>
      </c>
      <c r="AC21" s="222">
        <v>2028</v>
      </c>
      <c r="AD21" s="222">
        <v>2029</v>
      </c>
      <c r="AE21" s="222">
        <v>2030</v>
      </c>
      <c r="AG21" s="12" t="s">
        <v>363</v>
      </c>
      <c r="AI21" s="69" t="s">
        <v>205</v>
      </c>
      <c r="AJ21" s="207">
        <v>17.418714398878478</v>
      </c>
      <c r="AK21" s="207">
        <v>18.063990511132733</v>
      </c>
      <c r="AL21" s="207">
        <v>18.244630416244053</v>
      </c>
      <c r="AM21" s="207">
        <v>18.427076720406497</v>
      </c>
      <c r="AN21" s="207">
        <v>18.611347487610569</v>
      </c>
      <c r="AO21" s="207">
        <v>18.797460962486667</v>
      </c>
      <c r="AP21" s="207">
        <v>18.98543557211153</v>
      </c>
      <c r="AQ21" s="207">
        <v>19.175289927832658</v>
      </c>
      <c r="AR21" s="207">
        <v>19.367042827110989</v>
      </c>
      <c r="AS21" s="207">
        <v>19.560713255382094</v>
      </c>
      <c r="AT21" s="207">
        <v>19.756320387935897</v>
      </c>
    </row>
    <row r="22" spans="1:46" ht="15.75" x14ac:dyDescent="0.25">
      <c r="A22" s="494" t="s">
        <v>332</v>
      </c>
      <c r="B22" s="495"/>
      <c r="C22" s="174" t="s">
        <v>238</v>
      </c>
      <c r="E22" s="7"/>
      <c r="F22" s="182" t="s">
        <v>44</v>
      </c>
      <c r="G22" s="440">
        <v>380620.79999999999</v>
      </c>
      <c r="H22" s="441"/>
      <c r="I22" s="440">
        <v>415446.16744657879</v>
      </c>
      <c r="J22" s="441"/>
      <c r="T22" s="314" t="s">
        <v>62</v>
      </c>
      <c r="U22" s="256">
        <v>11436.269686555626</v>
      </c>
      <c r="V22" s="257">
        <v>11584.087577292363</v>
      </c>
      <c r="W22" s="257">
        <v>11730.038127549347</v>
      </c>
      <c r="X22" s="257">
        <v>11874.437215860497</v>
      </c>
      <c r="Y22" s="257">
        <v>12017.570424351192</v>
      </c>
      <c r="Z22" s="257">
        <v>12159.696081293587</v>
      </c>
      <c r="AA22" s="257">
        <v>12301.047999535514</v>
      </c>
      <c r="AB22" s="257">
        <v>12441.837941216963</v>
      </c>
      <c r="AC22" s="257">
        <v>12582.257836146619</v>
      </c>
      <c r="AD22" s="257">
        <v>12722.481778473821</v>
      </c>
      <c r="AE22" s="256">
        <v>12862.66782382772</v>
      </c>
      <c r="AG22" s="12" t="s">
        <v>363</v>
      </c>
      <c r="AI22" s="69" t="s">
        <v>206</v>
      </c>
      <c r="AJ22" s="70">
        <v>30</v>
      </c>
      <c r="AK22" s="71">
        <v>40.176677522842937</v>
      </c>
      <c r="AL22" s="71">
        <v>49.467454068630005</v>
      </c>
      <c r="AM22" s="71">
        <v>57.962237402819078</v>
      </c>
      <c r="AN22" s="71">
        <v>65.741957690999769</v>
      </c>
      <c r="AO22" s="71">
        <v>72.879465390647013</v>
      </c>
      <c r="AP22" s="71">
        <v>79.440339355017002</v>
      </c>
      <c r="AQ22" s="71">
        <v>85.483614127984353</v>
      </c>
      <c r="AR22" s="71">
        <v>91.062434510739664</v>
      </c>
      <c r="AS22" s="71">
        <v>96.224644673174978</v>
      </c>
      <c r="AT22" s="71">
        <v>101.01331835550184</v>
      </c>
    </row>
    <row r="23" spans="1:46" x14ac:dyDescent="0.2">
      <c r="A23" s="447" t="s">
        <v>331</v>
      </c>
      <c r="B23" s="448"/>
      <c r="C23" s="175"/>
      <c r="E23" s="7"/>
      <c r="F23" s="182" t="s">
        <v>67</v>
      </c>
      <c r="G23" s="440">
        <v>1179.3600000000001</v>
      </c>
      <c r="H23" s="441"/>
      <c r="I23" s="440">
        <v>1287.2669912936894</v>
      </c>
      <c r="J23" s="441"/>
      <c r="T23" s="314" t="s">
        <v>100</v>
      </c>
      <c r="U23" s="256">
        <v>30</v>
      </c>
      <c r="V23" s="257">
        <v>40.176677522842937</v>
      </c>
      <c r="W23" s="257">
        <v>49.467454068630005</v>
      </c>
      <c r="X23" s="257">
        <v>57.962237402819078</v>
      </c>
      <c r="Y23" s="257">
        <v>65.741957690999769</v>
      </c>
      <c r="Z23" s="257">
        <v>72.879465390647013</v>
      </c>
      <c r="AA23" s="257">
        <v>79.440339355017002</v>
      </c>
      <c r="AB23" s="257">
        <v>85.483614127984353</v>
      </c>
      <c r="AC23" s="257">
        <v>91.062434510739664</v>
      </c>
      <c r="AD23" s="257">
        <v>96.224644673174978</v>
      </c>
      <c r="AE23" s="256">
        <v>101.01331835550184</v>
      </c>
      <c r="AG23" s="12" t="s">
        <v>363</v>
      </c>
      <c r="AI23" s="69" t="s">
        <v>207</v>
      </c>
      <c r="AJ23" s="70">
        <v>1</v>
      </c>
      <c r="AK23" s="71">
        <v>18.963990511132732</v>
      </c>
      <c r="AL23" s="71">
        <v>35.312221876263507</v>
      </c>
      <c r="AM23" s="71">
        <v>50.208076409043656</v>
      </c>
      <c r="AN23" s="71">
        <v>63.798616255749863</v>
      </c>
      <c r="AO23" s="71">
        <v>76.216215592661541</v>
      </c>
      <c r="AP23" s="71">
        <v>87.580029605506923</v>
      </c>
      <c r="AQ23" s="71">
        <v>97.99731657278889</v>
      </c>
      <c r="AR23" s="71">
        <v>107.564627742621</v>
      </c>
      <c r="AS23" s="71">
        <v>116.36887822374099</v>
      </c>
      <c r="AT23" s="71">
        <v>124.4883107893028</v>
      </c>
    </row>
    <row r="24" spans="1:46" x14ac:dyDescent="0.2">
      <c r="A24" s="460" t="s">
        <v>304</v>
      </c>
      <c r="B24" s="461"/>
      <c r="C24" s="267">
        <v>0</v>
      </c>
      <c r="E24" s="7"/>
      <c r="F24" s="182" t="s">
        <v>60</v>
      </c>
      <c r="G24" s="440">
        <v>226.8</v>
      </c>
      <c r="H24" s="441"/>
      <c r="I24" s="440">
        <v>247.55134447955567</v>
      </c>
      <c r="J24" s="441"/>
      <c r="T24" s="314" t="s">
        <v>70</v>
      </c>
      <c r="U24" s="256">
        <v>11340.799140632158</v>
      </c>
      <c r="V24" s="257">
        <v>11392.921270133325</v>
      </c>
      <c r="W24" s="257">
        <v>11451.693207120017</v>
      </c>
      <c r="X24" s="257">
        <v>11516.568591048041</v>
      </c>
      <c r="Y24" s="257">
        <v>11587.056883629664</v>
      </c>
      <c r="Z24" s="257">
        <v>11662.717798469988</v>
      </c>
      <c r="AA24" s="257">
        <v>11743.156287858312</v>
      </c>
      <c r="AB24" s="257">
        <v>11828.01803100016</v>
      </c>
      <c r="AC24" s="257">
        <v>11916.985373547099</v>
      </c>
      <c r="AD24" s="257">
        <v>12009.773673295813</v>
      </c>
      <c r="AE24" s="256">
        <v>12106.128011440689</v>
      </c>
      <c r="AG24" s="12" t="s">
        <v>363</v>
      </c>
      <c r="AI24" s="69" t="s">
        <v>208</v>
      </c>
      <c r="AJ24" s="71">
        <v>31</v>
      </c>
      <c r="AK24" s="71">
        <v>59.140668033975672</v>
      </c>
      <c r="AL24" s="71">
        <v>84.779675944893512</v>
      </c>
      <c r="AM24" s="71">
        <v>108.17031381186274</v>
      </c>
      <c r="AN24" s="71">
        <v>129.54057394674965</v>
      </c>
      <c r="AO24" s="71">
        <v>149.09568098330857</v>
      </c>
      <c r="AP24" s="71">
        <v>167.02036896052391</v>
      </c>
      <c r="AQ24" s="71">
        <v>183.48093070077323</v>
      </c>
      <c r="AR24" s="71">
        <v>198.62706225336066</v>
      </c>
      <c r="AS24" s="71">
        <v>212.59352289691597</v>
      </c>
      <c r="AT24" s="71">
        <v>225.50162914480464</v>
      </c>
    </row>
    <row r="25" spans="1:46" x14ac:dyDescent="0.2">
      <c r="A25" s="460" t="s">
        <v>305</v>
      </c>
      <c r="B25" s="461"/>
      <c r="C25" s="267">
        <v>10</v>
      </c>
      <c r="E25" s="7"/>
      <c r="F25" s="182" t="s">
        <v>68</v>
      </c>
      <c r="G25" s="440">
        <v>1209.6000000000001</v>
      </c>
      <c r="H25" s="441"/>
      <c r="I25" s="440">
        <v>1320.273837224297</v>
      </c>
      <c r="J25" s="441"/>
      <c r="T25" s="314" t="s">
        <v>71</v>
      </c>
      <c r="U25" s="256">
        <v>1</v>
      </c>
      <c r="V25" s="257">
        <v>18.963990511132732</v>
      </c>
      <c r="W25" s="257">
        <v>35.312221876263507</v>
      </c>
      <c r="X25" s="257">
        <v>50.208076409043656</v>
      </c>
      <c r="Y25" s="257">
        <v>63.798616255749863</v>
      </c>
      <c r="Z25" s="257">
        <v>76.216215592661541</v>
      </c>
      <c r="AA25" s="257">
        <v>87.580029605506923</v>
      </c>
      <c r="AB25" s="257">
        <v>97.99731657278889</v>
      </c>
      <c r="AC25" s="257">
        <v>107.564627742621</v>
      </c>
      <c r="AD25" s="257">
        <v>116.36887822374099</v>
      </c>
      <c r="AE25" s="256">
        <v>124.4883107893028</v>
      </c>
      <c r="AG25" s="12" t="s">
        <v>363</v>
      </c>
      <c r="AI25" s="69" t="s">
        <v>93</v>
      </c>
      <c r="AJ25" s="72">
        <v>1.3591681187425755E-3</v>
      </c>
      <c r="AK25" s="72">
        <v>2.5672983236319988E-3</v>
      </c>
      <c r="AL25" s="72">
        <v>3.6438499913552464E-3</v>
      </c>
      <c r="AM25" s="72">
        <v>4.6031534576432892E-3</v>
      </c>
      <c r="AN25" s="72">
        <v>5.4579783285930309E-3</v>
      </c>
      <c r="AO25" s="72">
        <v>6.2197034611225022E-3</v>
      </c>
      <c r="AP25" s="72">
        <v>6.8984684307032184E-3</v>
      </c>
      <c r="AQ25" s="72">
        <v>7.5033085026068288E-3</v>
      </c>
      <c r="AR25" s="72">
        <v>8.0422749033130167E-3</v>
      </c>
      <c r="AS25" s="72">
        <v>8.5225419930512036E-3</v>
      </c>
      <c r="AT25" s="72">
        <v>8.9505027660852308E-3</v>
      </c>
    </row>
    <row r="26" spans="1:46" ht="15" x14ac:dyDescent="0.25">
      <c r="A26" s="460" t="s">
        <v>308</v>
      </c>
      <c r="B26" s="461"/>
      <c r="C26" s="267">
        <v>4</v>
      </c>
      <c r="E26" s="7"/>
      <c r="F26" s="475" t="s">
        <v>80</v>
      </c>
      <c r="G26" s="476"/>
      <c r="H26" s="476"/>
      <c r="I26" s="476"/>
      <c r="J26" s="477"/>
      <c r="T26" s="237" t="s">
        <v>101</v>
      </c>
      <c r="U26" s="100">
        <v>2020</v>
      </c>
      <c r="V26" s="100">
        <v>2021</v>
      </c>
      <c r="W26" s="100">
        <v>2022</v>
      </c>
      <c r="X26" s="100">
        <v>2023</v>
      </c>
      <c r="Y26" s="100">
        <v>2024</v>
      </c>
      <c r="Z26" s="100">
        <v>2025</v>
      </c>
      <c r="AA26" s="100">
        <v>2026</v>
      </c>
      <c r="AB26" s="100">
        <v>2027</v>
      </c>
      <c r="AC26" s="100">
        <v>2028</v>
      </c>
      <c r="AD26" s="100">
        <v>2029</v>
      </c>
      <c r="AE26" s="100">
        <v>2030</v>
      </c>
      <c r="AG26" s="12" t="s">
        <v>363</v>
      </c>
    </row>
    <row r="27" spans="1:46" x14ac:dyDescent="0.2">
      <c r="A27" s="460" t="s">
        <v>306</v>
      </c>
      <c r="B27" s="461"/>
      <c r="C27" s="266">
        <v>100000</v>
      </c>
      <c r="E27" s="7"/>
      <c r="F27" s="182" t="s">
        <v>62</v>
      </c>
      <c r="G27" s="440">
        <v>11436.269686555626</v>
      </c>
      <c r="H27" s="441"/>
      <c r="I27" s="440">
        <v>12862.66782382772</v>
      </c>
      <c r="J27" s="441"/>
      <c r="T27" s="238" t="s">
        <v>62</v>
      </c>
      <c r="U27" s="239">
        <v>0.50141332759059853</v>
      </c>
      <c r="V27" s="240">
        <v>0.50286561864508783</v>
      </c>
      <c r="W27" s="240">
        <v>0.50415973938671199</v>
      </c>
      <c r="X27" s="240">
        <v>0.50531291628518893</v>
      </c>
      <c r="Y27" s="240">
        <v>0.50634049966006922</v>
      </c>
      <c r="Z27" s="240">
        <v>0.50725616801392326</v>
      </c>
      <c r="AA27" s="240">
        <v>0.50807211011141673</v>
      </c>
      <c r="AB27" s="240">
        <v>0.508799187227995</v>
      </c>
      <c r="AC27" s="240">
        <v>0.50944707772791642</v>
      </c>
      <c r="AD27" s="240">
        <v>0.51002440589616316</v>
      </c>
      <c r="AE27" s="239">
        <v>0.51053885673915522</v>
      </c>
      <c r="AG27" s="12" t="s">
        <v>363</v>
      </c>
    </row>
    <row r="28" spans="1:46" x14ac:dyDescent="0.2">
      <c r="A28" s="460" t="s">
        <v>307</v>
      </c>
      <c r="B28" s="461"/>
      <c r="C28" s="266">
        <v>200000</v>
      </c>
      <c r="E28" s="7"/>
      <c r="F28" s="182" t="s">
        <v>100</v>
      </c>
      <c r="G28" s="440">
        <v>30</v>
      </c>
      <c r="H28" s="441"/>
      <c r="I28" s="440">
        <v>101.01331835550184</v>
      </c>
      <c r="J28" s="441"/>
      <c r="T28" s="238" t="s">
        <v>100</v>
      </c>
      <c r="U28" s="239">
        <v>1.3153239858799117E-3</v>
      </c>
      <c r="V28" s="240">
        <v>1.7440708785068525E-3</v>
      </c>
      <c r="W28" s="240">
        <v>2.1261225650061068E-3</v>
      </c>
      <c r="X28" s="240">
        <v>2.4665646618866302E-3</v>
      </c>
      <c r="Y28" s="240">
        <v>2.7699289066316505E-3</v>
      </c>
      <c r="Z28" s="240">
        <v>3.040253481156917E-3</v>
      </c>
      <c r="AA28" s="240">
        <v>3.2811367653873516E-3</v>
      </c>
      <c r="AB28" s="240">
        <v>3.4957852364837787E-3</v>
      </c>
      <c r="AC28" s="240">
        <v>3.6870561513221798E-3</v>
      </c>
      <c r="AD28" s="240">
        <v>3.8574955803861014E-3</v>
      </c>
      <c r="AE28" s="239">
        <v>4.0093722993539511E-3</v>
      </c>
      <c r="AG28" s="12" t="s">
        <v>363</v>
      </c>
      <c r="AI28" s="68" t="s">
        <v>58</v>
      </c>
      <c r="AJ28" s="40"/>
      <c r="AK28" s="40"/>
      <c r="AL28" s="40"/>
      <c r="AM28" s="40"/>
      <c r="AN28" s="40"/>
      <c r="AO28" s="40"/>
      <c r="AP28" s="40"/>
      <c r="AQ28" s="40"/>
      <c r="AR28" s="40"/>
      <c r="AS28" s="40"/>
      <c r="AT28" s="40"/>
    </row>
    <row r="29" spans="1:46" x14ac:dyDescent="0.2">
      <c r="A29" s="460" t="s">
        <v>309</v>
      </c>
      <c r="B29" s="461"/>
      <c r="C29" s="266">
        <v>200000</v>
      </c>
      <c r="E29" s="7"/>
      <c r="F29" s="182" t="s">
        <v>70</v>
      </c>
      <c r="G29" s="440">
        <v>11340.799140632158</v>
      </c>
      <c r="H29" s="441"/>
      <c r="I29" s="440">
        <v>12106.128011440689</v>
      </c>
      <c r="J29" s="441"/>
      <c r="T29" s="238" t="s">
        <v>70</v>
      </c>
      <c r="U29" s="239">
        <v>0.49722750429065893</v>
      </c>
      <c r="V29" s="240">
        <v>0.49456708303128022</v>
      </c>
      <c r="W29" s="240">
        <v>0.49219641062193287</v>
      </c>
      <c r="X29" s="240">
        <v>0.4900839302571679</v>
      </c>
      <c r="Y29" s="240">
        <v>0.48820152201133771</v>
      </c>
      <c r="Z29" s="240">
        <v>0.48652412852495441</v>
      </c>
      <c r="AA29" s="240">
        <v>0.48502942145788008</v>
      </c>
      <c r="AB29" s="240">
        <v>0.48369750426939812</v>
      </c>
      <c r="AC29" s="240">
        <v>0.48251064736877064</v>
      </c>
      <c r="AD29" s="240">
        <v>0.48145305211078571</v>
      </c>
      <c r="AE29" s="239">
        <v>0.4805106404947595</v>
      </c>
      <c r="AG29" s="12" t="s">
        <v>363</v>
      </c>
      <c r="AI29" s="68" t="s">
        <v>59</v>
      </c>
      <c r="AJ29" s="63">
        <v>30000</v>
      </c>
      <c r="AK29" s="63">
        <v>30000</v>
      </c>
      <c r="AL29" s="63">
        <v>30000</v>
      </c>
      <c r="AM29" s="63">
        <v>30000</v>
      </c>
      <c r="AN29" s="63">
        <v>30000</v>
      </c>
      <c r="AO29" s="63">
        <v>30000</v>
      </c>
      <c r="AP29" s="63">
        <v>30000</v>
      </c>
      <c r="AQ29" s="63">
        <v>30000</v>
      </c>
      <c r="AR29" s="63">
        <v>30000</v>
      </c>
      <c r="AS29" s="63">
        <v>30000</v>
      </c>
      <c r="AT29" s="63">
        <v>30000</v>
      </c>
    </row>
    <row r="30" spans="1:46" x14ac:dyDescent="0.2">
      <c r="A30" s="460" t="s">
        <v>314</v>
      </c>
      <c r="B30" s="461"/>
      <c r="C30" s="165">
        <v>2000000</v>
      </c>
      <c r="E30" s="7"/>
      <c r="F30" s="182" t="s">
        <v>71</v>
      </c>
      <c r="G30" s="440">
        <v>1</v>
      </c>
      <c r="H30" s="441"/>
      <c r="I30" s="440">
        <v>124.4883107893028</v>
      </c>
      <c r="J30" s="441"/>
      <c r="T30" s="238" t="s">
        <v>71</v>
      </c>
      <c r="U30" s="239">
        <v>4.3844132862663724E-5</v>
      </c>
      <c r="V30" s="240">
        <v>8.232274451251461E-4</v>
      </c>
      <c r="W30" s="240">
        <v>1.5177274263491402E-3</v>
      </c>
      <c r="X30" s="240">
        <v>2.1365887957566602E-3</v>
      </c>
      <c r="Y30" s="240">
        <v>2.6880494219613804E-3</v>
      </c>
      <c r="Z30" s="240">
        <v>3.179449979965587E-3</v>
      </c>
      <c r="AA30" s="240">
        <v>3.6173316653158698E-3</v>
      </c>
      <c r="AB30" s="240">
        <v>4.0075232661230522E-3</v>
      </c>
      <c r="AC30" s="240">
        <v>4.3552187519908395E-3</v>
      </c>
      <c r="AD30" s="240">
        <v>4.6650464126651052E-3</v>
      </c>
      <c r="AE30" s="239">
        <v>4.9411304667312814E-3</v>
      </c>
      <c r="AG30" s="12" t="s">
        <v>363</v>
      </c>
      <c r="AI30" s="60"/>
    </row>
    <row r="31" spans="1:46" x14ac:dyDescent="0.2">
      <c r="A31" s="447" t="s">
        <v>358</v>
      </c>
      <c r="B31" s="462"/>
      <c r="C31" s="177">
        <v>0</v>
      </c>
      <c r="E31" s="7"/>
      <c r="F31" s="173" t="s">
        <v>343</v>
      </c>
      <c r="G31" s="440">
        <v>22808.068827187784</v>
      </c>
      <c r="H31" s="441"/>
      <c r="I31" s="440">
        <v>25194.297464413215</v>
      </c>
      <c r="J31" s="441"/>
      <c r="T31" s="238" t="s">
        <v>102</v>
      </c>
      <c r="U31" s="239">
        <v>1</v>
      </c>
      <c r="V31" s="239">
        <v>1</v>
      </c>
      <c r="W31" s="239">
        <v>1</v>
      </c>
      <c r="X31" s="239">
        <v>1</v>
      </c>
      <c r="Y31" s="239">
        <v>1</v>
      </c>
      <c r="Z31" s="239">
        <v>1</v>
      </c>
      <c r="AA31" s="239">
        <v>1</v>
      </c>
      <c r="AB31" s="239">
        <v>1</v>
      </c>
      <c r="AC31" s="239">
        <v>1</v>
      </c>
      <c r="AD31" s="239">
        <v>1</v>
      </c>
      <c r="AE31" s="239">
        <v>1</v>
      </c>
      <c r="AG31" s="12" t="s">
        <v>363</v>
      </c>
      <c r="AI31" s="316" t="s">
        <v>212</v>
      </c>
      <c r="AJ31" s="40"/>
      <c r="AK31" s="40"/>
      <c r="AL31" s="40"/>
      <c r="AM31" s="40"/>
      <c r="AN31" s="40"/>
      <c r="AO31" s="40"/>
      <c r="AP31" s="40"/>
      <c r="AQ31" s="40"/>
      <c r="AR31" s="40"/>
      <c r="AS31" s="40"/>
    </row>
    <row r="32" spans="1:46" ht="15.75" x14ac:dyDescent="0.25">
      <c r="A32" s="452" t="s">
        <v>333</v>
      </c>
      <c r="B32" s="453"/>
      <c r="C32" s="176"/>
      <c r="E32" s="7"/>
      <c r="F32" s="475" t="s">
        <v>101</v>
      </c>
      <c r="G32" s="476"/>
      <c r="H32" s="476"/>
      <c r="I32" s="476"/>
      <c r="J32" s="477"/>
      <c r="T32" s="238" t="s">
        <v>103</v>
      </c>
      <c r="U32" s="329">
        <v>0</v>
      </c>
      <c r="V32" s="329">
        <v>0</v>
      </c>
      <c r="W32" s="329">
        <v>0</v>
      </c>
      <c r="X32" s="329">
        <v>0</v>
      </c>
      <c r="Y32" s="329">
        <v>0</v>
      </c>
      <c r="Z32" s="329">
        <v>0</v>
      </c>
      <c r="AA32" s="329">
        <v>0</v>
      </c>
      <c r="AB32" s="329">
        <v>0</v>
      </c>
      <c r="AC32" s="329">
        <v>0</v>
      </c>
      <c r="AD32" s="329">
        <v>0</v>
      </c>
      <c r="AE32" s="329">
        <v>0</v>
      </c>
      <c r="AG32" s="12" t="s">
        <v>363</v>
      </c>
      <c r="AI32" s="61" t="s">
        <v>6</v>
      </c>
      <c r="AJ32" s="57">
        <v>11466.269686555626</v>
      </c>
      <c r="AK32" s="57">
        <v>11624.264254815205</v>
      </c>
      <c r="AL32" s="57">
        <v>11779.505581617977</v>
      </c>
      <c r="AM32" s="57">
        <v>11932.399453263315</v>
      </c>
      <c r="AN32" s="57">
        <v>12083.312382042192</v>
      </c>
      <c r="AO32" s="57">
        <v>12232.575546684233</v>
      </c>
      <c r="AP32" s="57">
        <v>12380.488338890531</v>
      </c>
      <c r="AQ32" s="57">
        <v>12527.321555344948</v>
      </c>
      <c r="AR32" s="57">
        <v>12673.320270657357</v>
      </c>
      <c r="AS32" s="57">
        <v>12818.706423146996</v>
      </c>
    </row>
    <row r="33" spans="1:46" x14ac:dyDescent="0.2">
      <c r="A33" s="449" t="s">
        <v>334</v>
      </c>
      <c r="B33" s="454"/>
      <c r="C33" s="268">
        <v>2000</v>
      </c>
      <c r="E33" s="7"/>
      <c r="F33" s="182" t="s">
        <v>62</v>
      </c>
      <c r="G33" s="473">
        <v>0.50141332759059853</v>
      </c>
      <c r="H33" s="474"/>
      <c r="I33" s="473">
        <v>0.51053885673915522</v>
      </c>
      <c r="J33" s="474"/>
      <c r="T33" s="233" t="s">
        <v>72</v>
      </c>
      <c r="U33" s="136">
        <v>2020</v>
      </c>
      <c r="V33" s="136">
        <v>2021</v>
      </c>
      <c r="W33" s="136">
        <v>2022</v>
      </c>
      <c r="X33" s="136">
        <v>2023</v>
      </c>
      <c r="Y33" s="136">
        <v>2024</v>
      </c>
      <c r="Z33" s="136">
        <v>2025</v>
      </c>
      <c r="AA33" s="136">
        <v>2026</v>
      </c>
      <c r="AB33" s="136">
        <v>2027</v>
      </c>
      <c r="AC33" s="136">
        <v>2028</v>
      </c>
      <c r="AD33" s="136">
        <v>2029</v>
      </c>
      <c r="AE33" s="136">
        <v>2030</v>
      </c>
      <c r="AG33" s="12" t="s">
        <v>363</v>
      </c>
      <c r="AI33" s="61" t="s">
        <v>61</v>
      </c>
      <c r="AJ33" s="57">
        <v>11341.799140632158</v>
      </c>
      <c r="AK33" s="57">
        <v>11411.885260644458</v>
      </c>
      <c r="AL33" s="57">
        <v>11487.005428996281</v>
      </c>
      <c r="AM33" s="57">
        <v>11566.776667457085</v>
      </c>
      <c r="AN33" s="57">
        <v>11650.855499885414</v>
      </c>
      <c r="AO33" s="57">
        <v>11738.93401406265</v>
      </c>
      <c r="AP33" s="57">
        <v>11830.736317463819</v>
      </c>
      <c r="AQ33" s="57">
        <v>11926.015347572949</v>
      </c>
      <c r="AR33" s="57">
        <v>12024.550001289719</v>
      </c>
      <c r="AS33" s="57">
        <v>12126.142551519553</v>
      </c>
    </row>
    <row r="34" spans="1:46" x14ac:dyDescent="0.2">
      <c r="A34" s="449" t="s">
        <v>335</v>
      </c>
      <c r="B34" s="450"/>
      <c r="C34" s="268">
        <v>5000</v>
      </c>
      <c r="E34" s="7"/>
      <c r="F34" s="182" t="s">
        <v>100</v>
      </c>
      <c r="G34" s="473">
        <v>1.3153239858799117E-3</v>
      </c>
      <c r="H34" s="474"/>
      <c r="I34" s="473">
        <v>4.0093722993539511E-3</v>
      </c>
      <c r="J34" s="474"/>
      <c r="T34" s="135" t="s">
        <v>74</v>
      </c>
      <c r="U34" s="136">
        <v>8</v>
      </c>
      <c r="V34" s="235">
        <v>8</v>
      </c>
      <c r="W34" s="235">
        <v>8</v>
      </c>
      <c r="X34" s="235">
        <v>8</v>
      </c>
      <c r="Y34" s="235">
        <v>8</v>
      </c>
      <c r="Z34" s="235">
        <v>8</v>
      </c>
      <c r="AA34" s="235">
        <v>8</v>
      </c>
      <c r="AB34" s="235">
        <v>8</v>
      </c>
      <c r="AC34" s="235">
        <v>8</v>
      </c>
      <c r="AD34" s="235">
        <v>8</v>
      </c>
      <c r="AE34" s="107">
        <v>8</v>
      </c>
      <c r="AG34" s="12" t="s">
        <v>363</v>
      </c>
      <c r="AI34" s="61" t="s">
        <v>64</v>
      </c>
      <c r="AJ34" s="57">
        <v>30</v>
      </c>
      <c r="AK34" s="57">
        <v>40.176677522842937</v>
      </c>
      <c r="AL34" s="57">
        <v>49.467454068630005</v>
      </c>
      <c r="AM34" s="57">
        <v>57.962237402819078</v>
      </c>
      <c r="AN34" s="57">
        <v>65.741957690999769</v>
      </c>
      <c r="AO34" s="57">
        <v>72.879465390647013</v>
      </c>
      <c r="AP34" s="57">
        <v>79.440339355017002</v>
      </c>
      <c r="AQ34" s="57">
        <v>85.483614127984353</v>
      </c>
      <c r="AR34" s="57">
        <v>91.062434510739664</v>
      </c>
      <c r="AS34" s="57">
        <v>96.224644673174978</v>
      </c>
    </row>
    <row r="35" spans="1:46" x14ac:dyDescent="0.2">
      <c r="A35" s="449" t="s">
        <v>336</v>
      </c>
      <c r="B35" s="450"/>
      <c r="C35" s="268">
        <v>30000</v>
      </c>
      <c r="E35" s="7"/>
      <c r="F35" s="182" t="s">
        <v>70</v>
      </c>
      <c r="G35" s="473">
        <v>0.49722750429065893</v>
      </c>
      <c r="H35" s="474"/>
      <c r="I35" s="473">
        <v>0.4805106404947595</v>
      </c>
      <c r="J35" s="474"/>
      <c r="T35" s="135" t="s">
        <v>75</v>
      </c>
      <c r="U35" s="136">
        <v>20</v>
      </c>
      <c r="V35" s="235">
        <v>20</v>
      </c>
      <c r="W35" s="235">
        <v>20</v>
      </c>
      <c r="X35" s="235">
        <v>20</v>
      </c>
      <c r="Y35" s="235">
        <v>20</v>
      </c>
      <c r="Z35" s="235">
        <v>20</v>
      </c>
      <c r="AA35" s="235">
        <v>20</v>
      </c>
      <c r="AB35" s="235">
        <v>20</v>
      </c>
      <c r="AC35" s="235">
        <v>20</v>
      </c>
      <c r="AD35" s="235">
        <v>20</v>
      </c>
      <c r="AE35" s="107">
        <v>20</v>
      </c>
      <c r="AG35" s="12" t="s">
        <v>363</v>
      </c>
      <c r="AI35" s="61" t="s">
        <v>65</v>
      </c>
      <c r="AJ35" s="57">
        <v>1</v>
      </c>
      <c r="AK35" s="57">
        <v>18.963990511132732</v>
      </c>
      <c r="AL35" s="57">
        <v>35.312221876263507</v>
      </c>
      <c r="AM35" s="57">
        <v>50.208076409043656</v>
      </c>
      <c r="AN35" s="57">
        <v>63.798616255749863</v>
      </c>
      <c r="AO35" s="57">
        <v>76.216215592661541</v>
      </c>
      <c r="AP35" s="57">
        <v>87.580029605506923</v>
      </c>
      <c r="AQ35" s="57">
        <v>97.99731657278889</v>
      </c>
      <c r="AR35" s="57">
        <v>107.564627742621</v>
      </c>
      <c r="AS35" s="57">
        <v>116.36887822374099</v>
      </c>
    </row>
    <row r="36" spans="1:46" x14ac:dyDescent="0.2">
      <c r="A36" s="455" t="s">
        <v>338</v>
      </c>
      <c r="B36" s="456"/>
      <c r="C36" s="176"/>
      <c r="E36" s="7"/>
      <c r="F36" s="182" t="s">
        <v>71</v>
      </c>
      <c r="G36" s="473">
        <v>4.3844132862663724E-5</v>
      </c>
      <c r="H36" s="474"/>
      <c r="I36" s="473">
        <v>4.9411304667312814E-3</v>
      </c>
      <c r="J36" s="474"/>
      <c r="T36" s="135" t="s">
        <v>76</v>
      </c>
      <c r="U36" s="236">
        <v>10.7</v>
      </c>
      <c r="V36" s="235">
        <v>10.729628082738349</v>
      </c>
      <c r="W36" s="235">
        <v>10.759338205036208</v>
      </c>
      <c r="X36" s="235">
        <v>10.789130594059451</v>
      </c>
      <c r="Y36" s="235">
        <v>10.819005477602969</v>
      </c>
      <c r="Z36" s="235">
        <v>10.848963084092416</v>
      </c>
      <c r="AA36" s="235">
        <v>10.879003642585948</v>
      </c>
      <c r="AB36" s="235">
        <v>10.90912738277598</v>
      </c>
      <c r="AC36" s="235">
        <v>10.939334534990941</v>
      </c>
      <c r="AD36" s="235">
        <v>10.969625330197035</v>
      </c>
      <c r="AE36" s="107">
        <v>11</v>
      </c>
      <c r="AG36" s="12" t="s">
        <v>363</v>
      </c>
      <c r="AI36" s="61"/>
      <c r="AJ36" s="57"/>
      <c r="AK36" s="57"/>
      <c r="AL36" s="57"/>
      <c r="AM36" s="57"/>
      <c r="AN36" s="57"/>
      <c r="AO36" s="57"/>
      <c r="AP36" s="57"/>
      <c r="AQ36" s="57"/>
      <c r="AR36" s="57"/>
      <c r="AS36" s="57"/>
    </row>
    <row r="37" spans="1:46" ht="15" x14ac:dyDescent="0.25">
      <c r="A37" s="449" t="s">
        <v>337</v>
      </c>
      <c r="B37" s="450"/>
      <c r="C37" s="178">
        <v>0</v>
      </c>
      <c r="E37" s="7"/>
      <c r="F37" s="475" t="s">
        <v>81</v>
      </c>
      <c r="G37" s="476"/>
      <c r="H37" s="476"/>
      <c r="I37" s="476"/>
      <c r="J37" s="477"/>
      <c r="T37" s="135" t="s">
        <v>77</v>
      </c>
      <c r="U37" s="136">
        <v>25</v>
      </c>
      <c r="V37" s="235">
        <v>25.239414569422173</v>
      </c>
      <c r="W37" s="235">
        <v>25.481121912286412</v>
      </c>
      <c r="X37" s="235">
        <v>25.725143985527371</v>
      </c>
      <c r="Y37" s="235">
        <v>25.971502956352111</v>
      </c>
      <c r="Z37" s="235">
        <v>26.220221204253782</v>
      </c>
      <c r="AA37" s="235">
        <v>26.471321323044606</v>
      </c>
      <c r="AB37" s="235">
        <v>26.724826122908315</v>
      </c>
      <c r="AC37" s="235">
        <v>26.980758632472259</v>
      </c>
      <c r="AD37" s="235">
        <v>27.23914210089934</v>
      </c>
      <c r="AE37" s="107">
        <v>27.5</v>
      </c>
      <c r="AG37" s="12" t="s">
        <v>363</v>
      </c>
      <c r="AI37" s="61" t="s">
        <v>55</v>
      </c>
      <c r="AJ37" s="63">
        <v>22808.068827187784</v>
      </c>
      <c r="AK37" s="63">
        <v>23036.149515459663</v>
      </c>
      <c r="AL37" s="63">
        <v>23266.51101061426</v>
      </c>
      <c r="AM37" s="63">
        <v>23499.1761207204</v>
      </c>
      <c r="AN37" s="63">
        <v>23734.167881927606</v>
      </c>
      <c r="AO37" s="63">
        <v>23971.509560746883</v>
      </c>
      <c r="AP37" s="63">
        <v>24211.224656354352</v>
      </c>
      <c r="AQ37" s="63">
        <v>24453.336902917898</v>
      </c>
      <c r="AR37" s="63">
        <v>24697.870271947075</v>
      </c>
      <c r="AS37" s="63">
        <v>24944.848974666551</v>
      </c>
    </row>
    <row r="38" spans="1:46" x14ac:dyDescent="0.2">
      <c r="A38" s="449" t="s">
        <v>250</v>
      </c>
      <c r="B38" s="450"/>
      <c r="C38" s="178">
        <v>0</v>
      </c>
      <c r="E38" s="7"/>
      <c r="F38" s="182" t="s">
        <v>104</v>
      </c>
      <c r="G38" s="440">
        <v>35518.166310022854</v>
      </c>
      <c r="H38" s="441"/>
      <c r="I38" s="440">
        <v>38927.006350380558</v>
      </c>
      <c r="J38" s="441"/>
      <c r="T38" s="135" t="s">
        <v>79</v>
      </c>
      <c r="U38" s="136">
        <v>10</v>
      </c>
      <c r="V38" s="136">
        <v>10</v>
      </c>
      <c r="W38" s="136">
        <v>10</v>
      </c>
      <c r="X38" s="136">
        <v>10</v>
      </c>
      <c r="Y38" s="136">
        <v>10</v>
      </c>
      <c r="Z38" s="136">
        <v>10</v>
      </c>
      <c r="AA38" s="136">
        <v>10</v>
      </c>
      <c r="AB38" s="136">
        <v>10</v>
      </c>
      <c r="AC38" s="136">
        <v>10</v>
      </c>
      <c r="AD38" s="136">
        <v>10</v>
      </c>
      <c r="AE38" s="136">
        <v>10</v>
      </c>
      <c r="AG38" s="12" t="s">
        <v>363</v>
      </c>
      <c r="AI38" s="61" t="s">
        <v>85</v>
      </c>
      <c r="AJ38" s="40"/>
      <c r="AK38" s="40"/>
      <c r="AL38" s="40"/>
      <c r="AM38" s="40"/>
      <c r="AN38" s="40"/>
      <c r="AO38" s="40"/>
      <c r="AP38" s="40"/>
      <c r="AQ38" s="40"/>
      <c r="AR38" s="40"/>
      <c r="AS38" s="67">
        <v>1.0000000000000009E-2</v>
      </c>
    </row>
    <row r="39" spans="1:46" x14ac:dyDescent="0.2">
      <c r="A39" s="449" t="s">
        <v>251</v>
      </c>
      <c r="B39" s="450"/>
      <c r="C39" s="178">
        <v>0</v>
      </c>
      <c r="E39" s="7"/>
      <c r="F39" s="182" t="s">
        <v>105</v>
      </c>
      <c r="G39" s="440">
        <v>707.6160000000001</v>
      </c>
      <c r="H39" s="441"/>
      <c r="I39" s="440">
        <v>772.36019477621358</v>
      </c>
      <c r="J39" s="441"/>
      <c r="T39" s="135" t="s">
        <v>263</v>
      </c>
      <c r="U39" s="136">
        <v>11</v>
      </c>
      <c r="V39" s="235">
        <v>11</v>
      </c>
      <c r="W39" s="235">
        <v>11</v>
      </c>
      <c r="X39" s="235">
        <v>11</v>
      </c>
      <c r="Y39" s="235">
        <v>11</v>
      </c>
      <c r="Z39" s="235">
        <v>11</v>
      </c>
      <c r="AA39" s="235">
        <v>11</v>
      </c>
      <c r="AB39" s="235">
        <v>11</v>
      </c>
      <c r="AC39" s="235">
        <v>11</v>
      </c>
      <c r="AD39" s="235">
        <v>11</v>
      </c>
      <c r="AE39" s="128">
        <v>11</v>
      </c>
      <c r="AG39" s="12" t="s">
        <v>363</v>
      </c>
      <c r="AL39" s="41" t="s">
        <v>242</v>
      </c>
    </row>
    <row r="40" spans="1:46" ht="16.5" thickBot="1" x14ac:dyDescent="0.25">
      <c r="A40" s="451" t="s">
        <v>359</v>
      </c>
      <c r="B40" s="451"/>
      <c r="C40" s="295">
        <v>0</v>
      </c>
      <c r="E40" s="7"/>
      <c r="F40" s="182" t="s">
        <v>106</v>
      </c>
      <c r="G40" s="440">
        <v>2372.2999307843334</v>
      </c>
      <c r="H40" s="441"/>
      <c r="I40" s="440">
        <v>3373.1618876178563</v>
      </c>
      <c r="J40" s="441"/>
      <c r="T40" s="135" t="s">
        <v>264</v>
      </c>
      <c r="U40" s="136">
        <v>20.6</v>
      </c>
      <c r="V40" s="235">
        <v>20.639654724067224</v>
      </c>
      <c r="W40" s="235">
        <v>20.679385782947108</v>
      </c>
      <c r="X40" s="235">
        <v>20.719193323583145</v>
      </c>
      <c r="Y40" s="235">
        <v>20.759077493201694</v>
      </c>
      <c r="Z40" s="235">
        <v>20.799038439312518</v>
      </c>
      <c r="AA40" s="235">
        <v>20.839076309709338</v>
      </c>
      <c r="AB40" s="235">
        <v>20.87919125247037</v>
      </c>
      <c r="AC40" s="235">
        <v>20.919383415958887</v>
      </c>
      <c r="AD40" s="235">
        <v>20.959652948823752</v>
      </c>
      <c r="AE40" s="128">
        <v>21</v>
      </c>
      <c r="AG40" s="12" t="s">
        <v>363</v>
      </c>
      <c r="AI40" s="64" t="s">
        <v>94</v>
      </c>
      <c r="AJ40" s="41" t="s">
        <v>95</v>
      </c>
      <c r="AK40" s="180" t="s">
        <v>50</v>
      </c>
      <c r="AL40" s="41" t="s">
        <v>240</v>
      </c>
      <c r="AM40" s="49" t="s">
        <v>248</v>
      </c>
      <c r="AN40" s="50"/>
    </row>
    <row r="41" spans="1:46" ht="15.75" x14ac:dyDescent="0.25">
      <c r="A41" s="296" t="s">
        <v>235</v>
      </c>
      <c r="B41" s="297"/>
      <c r="C41" s="298"/>
      <c r="E41" s="7"/>
      <c r="F41" s="475" t="s">
        <v>43</v>
      </c>
      <c r="G41" s="476"/>
      <c r="H41" s="476"/>
      <c r="I41" s="476"/>
      <c r="J41" s="477"/>
      <c r="T41" s="135" t="s">
        <v>262</v>
      </c>
      <c r="U41" s="136">
        <v>30.8</v>
      </c>
      <c r="V41" s="235">
        <v>30.81994179765984</v>
      </c>
      <c r="W41" s="235">
        <v>30.839896506855197</v>
      </c>
      <c r="X41" s="235">
        <v>30.859864135945788</v>
      </c>
      <c r="Y41" s="235">
        <v>30.879844693296736</v>
      </c>
      <c r="Z41" s="235">
        <v>30.899838187278586</v>
      </c>
      <c r="AA41" s="235">
        <v>30.919844626267306</v>
      </c>
      <c r="AB41" s="235">
        <v>30.939864018644279</v>
      </c>
      <c r="AC41" s="235">
        <v>30.959896372796319</v>
      </c>
      <c r="AD41" s="235">
        <v>30.979941697115667</v>
      </c>
      <c r="AE41" s="128">
        <v>31</v>
      </c>
      <c r="AG41" s="12" t="s">
        <v>363</v>
      </c>
      <c r="AI41" s="41" t="s">
        <v>57</v>
      </c>
      <c r="AJ41" s="113">
        <v>0.1</v>
      </c>
      <c r="AK41" s="48" t="s">
        <v>56</v>
      </c>
      <c r="AL41" s="131">
        <v>-3.4214993271626026E-2</v>
      </c>
      <c r="AM41" s="41" t="s">
        <v>243</v>
      </c>
      <c r="AN41" s="102"/>
    </row>
    <row r="42" spans="1:46" x14ac:dyDescent="0.2">
      <c r="A42" s="446" t="s">
        <v>229</v>
      </c>
      <c r="B42" s="446"/>
      <c r="C42" s="307">
        <v>0</v>
      </c>
      <c r="F42" s="182" t="s">
        <v>166</v>
      </c>
      <c r="G42" s="440">
        <v>81691.78251305256</v>
      </c>
      <c r="H42" s="441"/>
      <c r="I42" s="440">
        <v>89532.114605875278</v>
      </c>
      <c r="J42" s="441"/>
      <c r="T42" s="138" t="s">
        <v>81</v>
      </c>
      <c r="U42" s="103">
        <v>2020</v>
      </c>
      <c r="V42" s="103">
        <v>2021</v>
      </c>
      <c r="W42" s="103">
        <v>2022</v>
      </c>
      <c r="X42" s="103">
        <v>2023</v>
      </c>
      <c r="Y42" s="103">
        <v>2024</v>
      </c>
      <c r="Z42" s="103">
        <v>2025</v>
      </c>
      <c r="AA42" s="103">
        <v>2026</v>
      </c>
      <c r="AB42" s="103">
        <v>2027</v>
      </c>
      <c r="AC42" s="103">
        <v>2028</v>
      </c>
      <c r="AD42" s="103">
        <v>2029</v>
      </c>
      <c r="AE42" s="103">
        <v>2030</v>
      </c>
      <c r="AG42" s="12" t="s">
        <v>363</v>
      </c>
      <c r="AI42" s="58" t="s">
        <v>12</v>
      </c>
      <c r="AJ42" s="113">
        <v>0.1</v>
      </c>
      <c r="AK42" s="44" t="s">
        <v>51</v>
      </c>
      <c r="AL42" s="131">
        <v>5.1945275907602007E-2</v>
      </c>
      <c r="AM42" s="41" t="s">
        <v>244</v>
      </c>
      <c r="AN42" s="102"/>
    </row>
    <row r="43" spans="1:46" x14ac:dyDescent="0.2">
      <c r="A43" s="478" t="s">
        <v>385</v>
      </c>
      <c r="B43" s="478"/>
      <c r="C43" s="299">
        <v>500000</v>
      </c>
      <c r="E43" s="161"/>
      <c r="F43" s="182" t="s">
        <v>167</v>
      </c>
      <c r="G43" s="440">
        <v>1896.4108800000004</v>
      </c>
      <c r="H43" s="441"/>
      <c r="I43" s="440">
        <v>2069.9253220002524</v>
      </c>
      <c r="J43" s="441"/>
      <c r="T43" s="73" t="s">
        <v>104</v>
      </c>
      <c r="U43" s="105">
        <v>35518.166310022854</v>
      </c>
      <c r="V43" s="105">
        <v>35697.693884789085</v>
      </c>
      <c r="W43" s="105">
        <v>36023.738761314926</v>
      </c>
      <c r="X43" s="105">
        <v>36358.83115847312</v>
      </c>
      <c r="Y43" s="105">
        <v>36702.541127919707</v>
      </c>
      <c r="Z43" s="105">
        <v>37054.485019945081</v>
      </c>
      <c r="AA43" s="105">
        <v>37414.321084510273</v>
      </c>
      <c r="AB43" s="105">
        <v>37781.745495673895</v>
      </c>
      <c r="AC43" s="105">
        <v>38156.488758769992</v>
      </c>
      <c r="AD43" s="105">
        <v>38538.312463594317</v>
      </c>
      <c r="AE43" s="105">
        <v>38927.006350380558</v>
      </c>
      <c r="AG43" s="12" t="s">
        <v>363</v>
      </c>
      <c r="AI43" s="58" t="s">
        <v>13</v>
      </c>
      <c r="AJ43" s="127">
        <v>0.1</v>
      </c>
      <c r="AK43" s="44" t="s">
        <v>52</v>
      </c>
      <c r="AL43" s="131">
        <v>5.1999999999999998E-2</v>
      </c>
      <c r="AM43" s="41" t="s">
        <v>245</v>
      </c>
      <c r="AN43" s="102"/>
    </row>
    <row r="44" spans="1:46" x14ac:dyDescent="0.2">
      <c r="A44" s="446" t="s">
        <v>392</v>
      </c>
      <c r="B44" s="446"/>
      <c r="C44" s="313">
        <v>0.1</v>
      </c>
      <c r="E44" s="162"/>
      <c r="F44" s="182" t="s">
        <v>168</v>
      </c>
      <c r="G44" s="440">
        <v>298.67085459514988</v>
      </c>
      <c r="H44" s="441"/>
      <c r="I44" s="440">
        <v>424.67865491591715</v>
      </c>
      <c r="J44" s="441"/>
      <c r="T44" s="73" t="s">
        <v>105</v>
      </c>
      <c r="U44" s="105">
        <v>707.6160000000001</v>
      </c>
      <c r="V44" s="105">
        <v>711.36</v>
      </c>
      <c r="W44" s="105">
        <v>717.89262231698535</v>
      </c>
      <c r="X44" s="105">
        <v>724.48523557292765</v>
      </c>
      <c r="Y44" s="105">
        <v>731.1383906817756</v>
      </c>
      <c r="Z44" s="105">
        <v>737.85264361667873</v>
      </c>
      <c r="AA44" s="105">
        <v>744.62855545644618</v>
      </c>
      <c r="AB44" s="105">
        <v>751.46669243243491</v>
      </c>
      <c r="AC44" s="105">
        <v>758.3676259758663</v>
      </c>
      <c r="AD44" s="105">
        <v>765.33193276557779</v>
      </c>
      <c r="AE44" s="105">
        <v>772.36019477621358</v>
      </c>
      <c r="AG44" s="12" t="s">
        <v>363</v>
      </c>
      <c r="AI44" s="58" t="s">
        <v>8</v>
      </c>
      <c r="AJ44" s="127">
        <v>7.4999999999999997E-2</v>
      </c>
      <c r="AK44" s="44" t="s">
        <v>53</v>
      </c>
      <c r="AL44" s="131">
        <v>4.2000000000000003E-2</v>
      </c>
      <c r="AM44" s="41" t="s">
        <v>246</v>
      </c>
      <c r="AN44" s="102"/>
    </row>
    <row r="45" spans="1:46" ht="13.5" thickBot="1" x14ac:dyDescent="0.25">
      <c r="A45" s="446" t="s">
        <v>368</v>
      </c>
      <c r="B45" s="446"/>
      <c r="C45" s="294">
        <v>0</v>
      </c>
      <c r="E45" s="162"/>
      <c r="F45" s="182" t="s">
        <v>342</v>
      </c>
      <c r="G45" s="440">
        <v>83886.864247647711</v>
      </c>
      <c r="H45" s="441"/>
      <c r="I45" s="440">
        <v>92026.718582791451</v>
      </c>
      <c r="J45" s="441"/>
      <c r="R45" s="19"/>
      <c r="S45" s="19"/>
      <c r="T45" s="73" t="s">
        <v>106</v>
      </c>
      <c r="U45" s="105">
        <v>2372.2999307843334</v>
      </c>
      <c r="V45" s="105">
        <v>2492.9713803947643</v>
      </c>
      <c r="W45" s="105">
        <v>2614.4744528687324</v>
      </c>
      <c r="X45" s="105">
        <v>2728.5014239662055</v>
      </c>
      <c r="Y45" s="105">
        <v>2835.8147379601787</v>
      </c>
      <c r="Z45" s="105">
        <v>2937.1049702260434</v>
      </c>
      <c r="AA45" s="105">
        <v>3032.9976971650758</v>
      </c>
      <c r="AB45" s="105">
        <v>3124.0597095281473</v>
      </c>
      <c r="AC45" s="105">
        <v>3210.8046320411936</v>
      </c>
      <c r="AD45" s="105">
        <v>3293.6980061965937</v>
      </c>
      <c r="AE45" s="105">
        <v>3373.1618876178563</v>
      </c>
      <c r="AG45" s="12" t="s">
        <v>363</v>
      </c>
      <c r="AI45" s="58" t="s">
        <v>9</v>
      </c>
      <c r="AJ45" s="127">
        <v>7.4999999999999997E-2</v>
      </c>
      <c r="AK45" s="44" t="s">
        <v>54</v>
      </c>
      <c r="AL45" s="131">
        <v>0.02</v>
      </c>
      <c r="AM45" s="41" t="s">
        <v>247</v>
      </c>
      <c r="AN45" s="102"/>
    </row>
    <row r="46" spans="1:46" ht="21" thickBot="1" x14ac:dyDescent="0.25">
      <c r="A46" s="446" t="s">
        <v>369</v>
      </c>
      <c r="B46" s="446"/>
      <c r="C46" s="308">
        <v>0</v>
      </c>
      <c r="E46" s="163"/>
      <c r="F46" s="183" t="s">
        <v>252</v>
      </c>
      <c r="G46" s="469">
        <v>2020</v>
      </c>
      <c r="H46" s="469"/>
      <c r="I46" s="469">
        <v>2030</v>
      </c>
      <c r="J46" s="469"/>
      <c r="R46" s="19"/>
      <c r="S46" s="19"/>
      <c r="T46" s="233" t="s">
        <v>43</v>
      </c>
      <c r="U46" s="136">
        <v>2020</v>
      </c>
      <c r="V46" s="136">
        <v>2021</v>
      </c>
      <c r="W46" s="136">
        <v>2022</v>
      </c>
      <c r="X46" s="136">
        <v>2023</v>
      </c>
      <c r="Y46" s="136">
        <v>2024</v>
      </c>
      <c r="Z46" s="136">
        <v>2025</v>
      </c>
      <c r="AA46" s="136">
        <v>2026</v>
      </c>
      <c r="AB46" s="136">
        <v>2027</v>
      </c>
      <c r="AC46" s="136">
        <v>2028</v>
      </c>
      <c r="AD46" s="136">
        <v>2029</v>
      </c>
      <c r="AE46" s="136">
        <v>2030</v>
      </c>
      <c r="AG46" s="12" t="s">
        <v>363</v>
      </c>
    </row>
    <row r="47" spans="1:46" ht="15.75" thickBot="1" x14ac:dyDescent="0.3">
      <c r="A47" s="446" t="s">
        <v>419</v>
      </c>
      <c r="B47" s="446"/>
      <c r="C47" s="293">
        <v>125</v>
      </c>
      <c r="E47" s="163"/>
      <c r="F47" s="198" t="s">
        <v>329</v>
      </c>
      <c r="G47" s="442"/>
      <c r="H47" s="442"/>
      <c r="I47" s="442"/>
      <c r="J47" s="442"/>
      <c r="R47" s="19"/>
      <c r="S47" s="19"/>
      <c r="T47" s="135" t="s">
        <v>166</v>
      </c>
      <c r="U47" s="234">
        <v>81691.78251305256</v>
      </c>
      <c r="V47" s="235">
        <v>82104.695935014883</v>
      </c>
      <c r="W47" s="235">
        <v>82854.599151024318</v>
      </c>
      <c r="X47" s="235">
        <v>83625.311664488167</v>
      </c>
      <c r="Y47" s="235">
        <v>84415.844594215319</v>
      </c>
      <c r="Z47" s="235">
        <v>85225.315545873673</v>
      </c>
      <c r="AA47" s="235">
        <v>86052.938494373622</v>
      </c>
      <c r="AB47" s="235">
        <v>86898.014640049951</v>
      </c>
      <c r="AC47" s="235">
        <v>87759.924145170982</v>
      </c>
      <c r="AD47" s="235">
        <v>88638.118666266921</v>
      </c>
      <c r="AE47" s="234">
        <v>89532.114605875278</v>
      </c>
      <c r="AG47" s="12" t="s">
        <v>363</v>
      </c>
      <c r="AI47" s="80" t="s">
        <v>84</v>
      </c>
      <c r="AJ47" s="40">
        <v>37.799999999999997</v>
      </c>
      <c r="AK47" s="62">
        <v>38</v>
      </c>
      <c r="AL47" s="62">
        <v>38.34896486736033</v>
      </c>
      <c r="AM47" s="62">
        <v>38.701134378895709</v>
      </c>
      <c r="AN47" s="62">
        <v>39.056537963770069</v>
      </c>
      <c r="AO47" s="62">
        <v>39.415205321403775</v>
      </c>
      <c r="AP47" s="62">
        <v>39.777166423955457</v>
      </c>
      <c r="AQ47" s="62">
        <v>40.142451518826654</v>
      </c>
      <c r="AR47" s="62">
        <v>40.511091131189438</v>
      </c>
      <c r="AS47" s="62">
        <v>40.883116066537276</v>
      </c>
      <c r="AT47" s="62">
        <v>41.258557413259282</v>
      </c>
    </row>
    <row r="48" spans="1:46" ht="15.75" x14ac:dyDescent="0.25">
      <c r="A48" s="317" t="s">
        <v>389</v>
      </c>
      <c r="B48" s="318"/>
      <c r="C48" s="321"/>
      <c r="E48" s="164"/>
      <c r="F48" s="185" t="s">
        <v>322</v>
      </c>
      <c r="G48" s="442">
        <v>3762.4231773175684</v>
      </c>
      <c r="H48" s="442"/>
      <c r="I48" s="442">
        <v>6246.3316474957937</v>
      </c>
      <c r="J48" s="442"/>
      <c r="O48" s="19"/>
      <c r="P48" s="19"/>
      <c r="Q48" s="19"/>
      <c r="R48" s="19"/>
      <c r="S48" s="19"/>
      <c r="T48" s="135" t="s">
        <v>167</v>
      </c>
      <c r="U48" s="234">
        <v>1896.4108800000004</v>
      </c>
      <c r="V48" s="235">
        <v>1906.4448000000002</v>
      </c>
      <c r="W48" s="235">
        <v>1923.9522278095208</v>
      </c>
      <c r="X48" s="235">
        <v>1941.6204313354463</v>
      </c>
      <c r="Y48" s="235">
        <v>1959.4508870271588</v>
      </c>
      <c r="Z48" s="235">
        <v>1977.445084892699</v>
      </c>
      <c r="AA48" s="235">
        <v>1995.6045286232759</v>
      </c>
      <c r="AB48" s="235">
        <v>2013.9307357189257</v>
      </c>
      <c r="AC48" s="235">
        <v>2032.4252376153217</v>
      </c>
      <c r="AD48" s="235">
        <v>2051.0895798117485</v>
      </c>
      <c r="AE48" s="234">
        <v>2069.9253220002524</v>
      </c>
      <c r="AG48" s="12" t="s">
        <v>363</v>
      </c>
      <c r="AI48" s="66" t="s">
        <v>63</v>
      </c>
      <c r="AJ48" s="40"/>
      <c r="AK48" s="67">
        <v>9.1832859831666447E-3</v>
      </c>
      <c r="AL48" s="40"/>
      <c r="AM48" s="40"/>
      <c r="AN48" s="40"/>
      <c r="AO48" s="40"/>
      <c r="AP48" s="40"/>
      <c r="AQ48" s="40"/>
      <c r="AR48" s="40"/>
      <c r="AS48" s="40"/>
      <c r="AT48" s="40"/>
    </row>
    <row r="49" spans="1:46" x14ac:dyDescent="0.2">
      <c r="A49" s="509" t="s">
        <v>390</v>
      </c>
      <c r="B49" s="509"/>
      <c r="C49" s="307">
        <v>0</v>
      </c>
      <c r="E49" s="162"/>
      <c r="F49" s="185" t="s">
        <v>323</v>
      </c>
      <c r="G49" s="442">
        <v>0</v>
      </c>
      <c r="H49" s="442"/>
      <c r="I49" s="442">
        <v>0</v>
      </c>
      <c r="J49" s="442"/>
      <c r="O49" s="19"/>
      <c r="P49" s="19"/>
      <c r="Q49" s="19"/>
      <c r="R49" s="19"/>
      <c r="S49" s="19"/>
      <c r="T49" s="135" t="s">
        <v>168</v>
      </c>
      <c r="U49" s="234">
        <v>298.67085459514988</v>
      </c>
      <c r="V49" s="234">
        <v>313.88840331668769</v>
      </c>
      <c r="W49" s="234">
        <v>329.21310152680252</v>
      </c>
      <c r="X49" s="234">
        <v>343.59878718075839</v>
      </c>
      <c r="Y49" s="234">
        <v>357.14125659802897</v>
      </c>
      <c r="Z49" s="234">
        <v>369.9272849168658</v>
      </c>
      <c r="AA49" s="234">
        <v>382.03548781451246</v>
      </c>
      <c r="AB49" s="235">
        <v>393.31686990462282</v>
      </c>
      <c r="AC49" s="235">
        <v>404.2379932425963</v>
      </c>
      <c r="AD49" s="235">
        <v>414.67420941324019</v>
      </c>
      <c r="AE49" s="235">
        <v>424.67865491591715</v>
      </c>
      <c r="AG49" s="12" t="s">
        <v>363</v>
      </c>
      <c r="AI49" s="65" t="s">
        <v>86</v>
      </c>
      <c r="AJ49" s="81">
        <v>0.60338806421131708</v>
      </c>
      <c r="AK49" s="82">
        <v>0.60621446093314901</v>
      </c>
      <c r="AL49" s="81">
        <v>0.60670505947389763</v>
      </c>
      <c r="AM49" s="81">
        <v>0.6071960550472868</v>
      </c>
      <c r="AN49" s="81">
        <v>0.60768744797462804</v>
      </c>
      <c r="AO49" s="81">
        <v>0.60817923857749268</v>
      </c>
      <c r="AP49" s="81">
        <v>0.6086714271777125</v>
      </c>
      <c r="AQ49" s="81">
        <v>0.60916401409737964</v>
      </c>
      <c r="AR49" s="81">
        <v>0.60965699965884712</v>
      </c>
      <c r="AS49" s="81">
        <v>0.61015038418472822</v>
      </c>
      <c r="AT49" s="81">
        <v>0.610644167997898</v>
      </c>
    </row>
    <row r="50" spans="1:46" x14ac:dyDescent="0.2">
      <c r="A50" s="510" t="s">
        <v>391</v>
      </c>
      <c r="B50" s="510"/>
      <c r="C50" s="299">
        <v>150000</v>
      </c>
      <c r="E50" s="162"/>
      <c r="F50" s="185" t="s">
        <v>324</v>
      </c>
      <c r="G50" s="442">
        <v>1893.5798665125683</v>
      </c>
      <c r="H50" s="442"/>
      <c r="I50" s="442">
        <v>2857.3327365592031</v>
      </c>
      <c r="J50" s="442"/>
      <c r="O50" s="19"/>
      <c r="P50" s="19"/>
      <c r="Q50" s="19"/>
      <c r="R50" s="19"/>
      <c r="S50" s="19"/>
      <c r="T50" s="135" t="s">
        <v>169</v>
      </c>
      <c r="U50" s="234">
        <v>83886.864247647711</v>
      </c>
      <c r="V50" s="235">
        <v>84325.029138331563</v>
      </c>
      <c r="W50" s="235">
        <v>85107.764480360653</v>
      </c>
      <c r="X50" s="235">
        <v>85910.530883004365</v>
      </c>
      <c r="Y50" s="235">
        <v>86732.4367378405</v>
      </c>
      <c r="Z50" s="235">
        <v>87572.687915683229</v>
      </c>
      <c r="AA50" s="235">
        <v>88430.578510811407</v>
      </c>
      <c r="AB50" s="235">
        <v>89305.262245673497</v>
      </c>
      <c r="AC50" s="235">
        <v>90196.587376028896</v>
      </c>
      <c r="AD50" s="235">
        <v>91103.882455491897</v>
      </c>
      <c r="AE50" s="234">
        <v>92026.718582791451</v>
      </c>
      <c r="AG50" s="12" t="s">
        <v>363</v>
      </c>
      <c r="AI50" s="11"/>
    </row>
    <row r="51" spans="1:46" x14ac:dyDescent="0.2">
      <c r="A51" s="509" t="s">
        <v>392</v>
      </c>
      <c r="B51" s="509"/>
      <c r="C51" s="313">
        <v>0.1</v>
      </c>
      <c r="E51" s="7"/>
      <c r="F51" s="185" t="s">
        <v>325</v>
      </c>
      <c r="G51" s="442">
        <v>0</v>
      </c>
      <c r="H51" s="442"/>
      <c r="I51" s="442">
        <v>0</v>
      </c>
      <c r="J51" s="442"/>
      <c r="O51" s="19"/>
      <c r="P51" s="19"/>
      <c r="Q51" s="19"/>
      <c r="R51" s="19"/>
      <c r="S51" s="19"/>
      <c r="T51" s="220" t="s">
        <v>224</v>
      </c>
      <c r="U51" s="232">
        <v>2020</v>
      </c>
      <c r="V51" s="232">
        <v>2021</v>
      </c>
      <c r="W51" s="232">
        <v>2022</v>
      </c>
      <c r="X51" s="232">
        <v>2023</v>
      </c>
      <c r="Y51" s="232">
        <v>2024</v>
      </c>
      <c r="Z51" s="232">
        <v>2025</v>
      </c>
      <c r="AA51" s="232">
        <v>2026</v>
      </c>
      <c r="AB51" s="232">
        <v>2027</v>
      </c>
      <c r="AC51" s="232">
        <v>2028</v>
      </c>
      <c r="AD51" s="232">
        <v>2029</v>
      </c>
      <c r="AE51" s="232">
        <v>2030</v>
      </c>
      <c r="AG51" s="12" t="s">
        <v>363</v>
      </c>
      <c r="AI51" s="14"/>
    </row>
    <row r="52" spans="1:46" ht="13.5" thickBot="1" x14ac:dyDescent="0.25">
      <c r="A52" s="509" t="s">
        <v>393</v>
      </c>
      <c r="B52" s="509"/>
      <c r="C52" s="294">
        <v>0</v>
      </c>
      <c r="E52" s="7"/>
      <c r="F52" s="185" t="s">
        <v>340</v>
      </c>
      <c r="G52" s="442">
        <v>499.34187352800001</v>
      </c>
      <c r="H52" s="442"/>
      <c r="I52" s="442">
        <v>608.69495750035992</v>
      </c>
      <c r="J52" s="442"/>
      <c r="O52" s="19"/>
      <c r="P52" s="19"/>
      <c r="Q52" s="19"/>
      <c r="R52" s="19"/>
      <c r="S52" s="19"/>
      <c r="T52" s="108" t="s">
        <v>173</v>
      </c>
      <c r="U52" s="110">
        <v>35518.166310022854</v>
      </c>
      <c r="V52" s="110">
        <v>35697.693884789085</v>
      </c>
      <c r="W52" s="110">
        <v>36023.738761314926</v>
      </c>
      <c r="X52" s="110">
        <v>36358.83115847312</v>
      </c>
      <c r="Y52" s="110">
        <v>36702.541127919707</v>
      </c>
      <c r="Z52" s="110">
        <v>37054.485019945081</v>
      </c>
      <c r="AA52" s="110">
        <v>37414.321084510273</v>
      </c>
      <c r="AB52" s="110">
        <v>37781.745495673895</v>
      </c>
      <c r="AC52" s="110">
        <v>38156.488758769992</v>
      </c>
      <c r="AD52" s="110">
        <v>38538.312463594317</v>
      </c>
      <c r="AE52" s="110">
        <v>38927.006350380558</v>
      </c>
      <c r="AG52" s="12" t="s">
        <v>363</v>
      </c>
      <c r="AI52" s="41" t="s">
        <v>213</v>
      </c>
      <c r="AJ52" s="107">
        <v>2500</v>
      </c>
      <c r="AK52" s="63">
        <v>2325</v>
      </c>
      <c r="AL52" s="63">
        <v>2162.25</v>
      </c>
      <c r="AM52" s="63">
        <v>2010.8924999999999</v>
      </c>
      <c r="AN52" s="63">
        <v>1870.1300249999997</v>
      </c>
      <c r="AO52" s="63">
        <v>1739.2209232499997</v>
      </c>
      <c r="AP52" s="63">
        <v>1617.4754586224997</v>
      </c>
      <c r="AQ52" s="63">
        <v>1504.2521765189247</v>
      </c>
      <c r="AR52" s="63">
        <v>1398.9545241625999</v>
      </c>
      <c r="AS52" s="63">
        <v>1301.0277074712178</v>
      </c>
      <c r="AT52" s="63">
        <v>1209.9557679482325</v>
      </c>
    </row>
    <row r="53" spans="1:46" x14ac:dyDescent="0.2">
      <c r="A53" s="510" t="s">
        <v>369</v>
      </c>
      <c r="B53" s="510"/>
      <c r="C53" s="324">
        <v>0</v>
      </c>
      <c r="E53" s="7"/>
      <c r="F53" s="195" t="s">
        <v>326</v>
      </c>
      <c r="G53" s="507">
        <v>0</v>
      </c>
      <c r="H53" s="507"/>
      <c r="I53" s="507">
        <v>0</v>
      </c>
      <c r="J53" s="507"/>
      <c r="O53" s="19"/>
      <c r="P53" s="19"/>
      <c r="Q53" s="19"/>
      <c r="R53" s="19"/>
      <c r="S53" s="19"/>
      <c r="T53" s="108" t="s">
        <v>188</v>
      </c>
      <c r="U53" s="110">
        <v>707.6160000000001</v>
      </c>
      <c r="V53" s="110">
        <v>711.36</v>
      </c>
      <c r="W53" s="110">
        <v>717.89262231698535</v>
      </c>
      <c r="X53" s="110">
        <v>724.48523557292765</v>
      </c>
      <c r="Y53" s="110">
        <v>731.1383906817756</v>
      </c>
      <c r="Z53" s="110">
        <v>737.85264361667873</v>
      </c>
      <c r="AA53" s="110">
        <v>744.62855545644618</v>
      </c>
      <c r="AB53" s="110">
        <v>751.46669243243491</v>
      </c>
      <c r="AC53" s="110">
        <v>758.3676259758663</v>
      </c>
      <c r="AD53" s="110">
        <v>765.33193276557779</v>
      </c>
      <c r="AE53" s="110">
        <v>772.36019477621358</v>
      </c>
      <c r="AG53" s="12" t="s">
        <v>363</v>
      </c>
      <c r="AI53" s="41" t="s">
        <v>216</v>
      </c>
      <c r="AJ53" s="107">
        <v>15000</v>
      </c>
      <c r="AK53" s="63">
        <v>13500</v>
      </c>
      <c r="AL53" s="63">
        <v>12555</v>
      </c>
      <c r="AM53" s="63">
        <v>11676.15</v>
      </c>
      <c r="AN53" s="63">
        <v>10858.8195</v>
      </c>
      <c r="AO53" s="63">
        <v>10098.702135</v>
      </c>
      <c r="AP53" s="63">
        <v>9391.7929855499988</v>
      </c>
      <c r="AQ53" s="63">
        <v>8734.3674765614978</v>
      </c>
      <c r="AR53" s="63">
        <v>8122.9617532021921</v>
      </c>
      <c r="AS53" s="63">
        <v>7554.354430478038</v>
      </c>
      <c r="AT53" s="63">
        <v>7025.5496203445746</v>
      </c>
    </row>
    <row r="54" spans="1:46" ht="13.5" thickBot="1" x14ac:dyDescent="0.25">
      <c r="A54" s="509" t="s">
        <v>419</v>
      </c>
      <c r="B54" s="509"/>
      <c r="C54" s="325">
        <v>60</v>
      </c>
      <c r="E54" s="7"/>
      <c r="F54" s="196" t="s">
        <v>348</v>
      </c>
      <c r="G54" s="508">
        <v>6155.3449173581366</v>
      </c>
      <c r="H54" s="508"/>
      <c r="I54" s="508">
        <v>9712.3593415553569</v>
      </c>
      <c r="J54" s="508"/>
      <c r="O54" s="19"/>
      <c r="P54" s="19"/>
      <c r="Q54" s="19"/>
      <c r="R54" s="19"/>
      <c r="S54" s="19"/>
      <c r="T54" s="108" t="s">
        <v>191</v>
      </c>
      <c r="U54" s="110">
        <v>284.67599169412</v>
      </c>
      <c r="V54" s="110">
        <v>299.15656564737168</v>
      </c>
      <c r="W54" s="110">
        <v>313.73693434424786</v>
      </c>
      <c r="X54" s="110">
        <v>327.42017087594462</v>
      </c>
      <c r="Y54" s="110">
        <v>340.29776855522141</v>
      </c>
      <c r="Z54" s="110">
        <v>352.45259642712517</v>
      </c>
      <c r="AA54" s="110">
        <v>363.95972365980907</v>
      </c>
      <c r="AB54" s="110">
        <v>374.88716514337767</v>
      </c>
      <c r="AC54" s="110">
        <v>385.29655584494321</v>
      </c>
      <c r="AD54" s="110">
        <v>395.24376074359122</v>
      </c>
      <c r="AE54" s="110">
        <v>404.77942651414276</v>
      </c>
      <c r="AG54" s="12" t="s">
        <v>363</v>
      </c>
      <c r="AI54" s="41" t="s">
        <v>214</v>
      </c>
      <c r="AJ54" s="111">
        <v>7.0000000000000007E-2</v>
      </c>
    </row>
    <row r="55" spans="1:46" ht="20.25" x14ac:dyDescent="0.3">
      <c r="A55" s="483" t="s">
        <v>284</v>
      </c>
      <c r="B55" s="484"/>
      <c r="C55" s="485"/>
      <c r="E55" s="7"/>
      <c r="F55" s="184" t="s">
        <v>327</v>
      </c>
      <c r="G55" s="442"/>
      <c r="H55" s="442"/>
      <c r="I55" s="442"/>
      <c r="J55" s="442"/>
      <c r="O55" s="19"/>
      <c r="P55" s="19"/>
      <c r="Q55" s="19"/>
      <c r="R55" s="506"/>
      <c r="S55" s="506"/>
      <c r="T55" s="108" t="s">
        <v>192</v>
      </c>
      <c r="U55" s="110">
        <v>36510.458301716979</v>
      </c>
      <c r="V55" s="110">
        <v>36708.210450436454</v>
      </c>
      <c r="W55" s="110">
        <v>37055.368317976157</v>
      </c>
      <c r="X55" s="110">
        <v>37410.736564921994</v>
      </c>
      <c r="Y55" s="110">
        <v>37773.977287156711</v>
      </c>
      <c r="Z55" s="110">
        <v>38144.790259988884</v>
      </c>
      <c r="AA55" s="110">
        <v>38522.909363626524</v>
      </c>
      <c r="AB55" s="110">
        <v>38908.099353249709</v>
      </c>
      <c r="AC55" s="110">
        <v>39300.1529405908</v>
      </c>
      <c r="AD55" s="110">
        <v>39698.888157103487</v>
      </c>
      <c r="AE55" s="110">
        <v>40104.145971670914</v>
      </c>
      <c r="AG55" s="12" t="s">
        <v>363</v>
      </c>
      <c r="AI55" s="49" t="s">
        <v>215</v>
      </c>
      <c r="AJ55" s="111">
        <v>0.1</v>
      </c>
    </row>
    <row r="56" spans="1:46" ht="25.5" x14ac:dyDescent="0.2">
      <c r="A56" s="150" t="s">
        <v>279</v>
      </c>
      <c r="B56" s="153" t="s">
        <v>6</v>
      </c>
      <c r="C56" s="154" t="s">
        <v>280</v>
      </c>
      <c r="E56" s="7"/>
      <c r="F56" s="185" t="s">
        <v>249</v>
      </c>
      <c r="G56" s="442">
        <v>0</v>
      </c>
      <c r="H56" s="442"/>
      <c r="I56" s="505">
        <v>0</v>
      </c>
      <c r="J56" s="505"/>
      <c r="O56" s="19"/>
      <c r="P56" s="19"/>
      <c r="Q56" s="19"/>
      <c r="R56" s="19"/>
      <c r="S56" s="19"/>
      <c r="T56" s="138" t="s">
        <v>189</v>
      </c>
      <c r="U56" s="103">
        <v>2020</v>
      </c>
      <c r="V56" s="103">
        <v>2021</v>
      </c>
      <c r="W56" s="103">
        <v>2022</v>
      </c>
      <c r="X56" s="103">
        <v>2023</v>
      </c>
      <c r="Y56" s="103">
        <v>2024</v>
      </c>
      <c r="Z56" s="103">
        <v>2025</v>
      </c>
      <c r="AA56" s="103">
        <v>2026</v>
      </c>
      <c r="AB56" s="103">
        <v>2027</v>
      </c>
      <c r="AC56" s="103">
        <v>2028</v>
      </c>
      <c r="AD56" s="103">
        <v>2029</v>
      </c>
      <c r="AE56" s="103">
        <v>2030</v>
      </c>
      <c r="AG56" s="12" t="s">
        <v>363</v>
      </c>
    </row>
    <row r="57" spans="1:46" x14ac:dyDescent="0.2">
      <c r="A57" s="151" t="s">
        <v>267</v>
      </c>
      <c r="B57" s="269">
        <v>0.1</v>
      </c>
      <c r="C57" s="270">
        <v>0.1</v>
      </c>
      <c r="E57" s="7"/>
      <c r="F57" s="185" t="s">
        <v>250</v>
      </c>
      <c r="G57" s="442">
        <v>0</v>
      </c>
      <c r="H57" s="442"/>
      <c r="I57" s="505">
        <v>0</v>
      </c>
      <c r="J57" s="505"/>
      <c r="O57" s="19"/>
      <c r="P57" s="19"/>
      <c r="Q57" s="19"/>
      <c r="R57" s="19"/>
      <c r="S57" s="19"/>
      <c r="T57" s="73" t="s">
        <v>193</v>
      </c>
      <c r="U57" s="231">
        <v>2500</v>
      </c>
      <c r="V57" s="104">
        <v>2325</v>
      </c>
      <c r="W57" s="104">
        <v>2162.25</v>
      </c>
      <c r="X57" s="104">
        <v>2010.8924999999999</v>
      </c>
      <c r="Y57" s="104">
        <v>1870.1300249999997</v>
      </c>
      <c r="Z57" s="104">
        <v>1739.2209232499997</v>
      </c>
      <c r="AA57" s="104">
        <v>1617.4754586224997</v>
      </c>
      <c r="AB57" s="104">
        <v>1504.2521765189247</v>
      </c>
      <c r="AC57" s="104">
        <v>1398.9545241625999</v>
      </c>
      <c r="AD57" s="104">
        <v>1301.0277074712178</v>
      </c>
      <c r="AE57" s="104">
        <v>1209.9557679482325</v>
      </c>
      <c r="AG57" s="12" t="s">
        <v>363</v>
      </c>
      <c r="AI57" s="41" t="s">
        <v>195</v>
      </c>
      <c r="AJ57" s="63">
        <v>31.764961119065894</v>
      </c>
      <c r="AK57" s="63">
        <v>30.635775240609817</v>
      </c>
      <c r="AL57" s="63">
        <v>28.776183683504797</v>
      </c>
      <c r="AM57" s="63">
        <v>27.029469333916055</v>
      </c>
      <c r="AN57" s="63">
        <v>25.388780545347363</v>
      </c>
      <c r="AO57" s="63">
        <v>23.847681566244766</v>
      </c>
      <c r="AP57" s="63">
        <v>22.400127295173704</v>
      </c>
      <c r="AQ57" s="63">
        <v>21.040439568356671</v>
      </c>
      <c r="AR57" s="63">
        <v>19.763284886557425</v>
      </c>
      <c r="AS57" s="63">
        <v>18.563653493943384</v>
      </c>
      <c r="AT57" s="63">
        <v>17.436839726861002</v>
      </c>
    </row>
    <row r="58" spans="1:46" x14ac:dyDescent="0.2">
      <c r="A58" s="151" t="s">
        <v>268</v>
      </c>
      <c r="B58" s="271">
        <v>8</v>
      </c>
      <c r="C58" s="267">
        <v>11</v>
      </c>
      <c r="E58" s="7"/>
      <c r="F58" s="185" t="s">
        <v>251</v>
      </c>
      <c r="G58" s="442">
        <v>0</v>
      </c>
      <c r="H58" s="442"/>
      <c r="I58" s="505">
        <v>0</v>
      </c>
      <c r="J58" s="505"/>
      <c r="O58" s="19"/>
      <c r="P58" s="19"/>
      <c r="Q58" s="19"/>
      <c r="R58" s="19"/>
      <c r="S58" s="19"/>
      <c r="T58" s="73" t="s">
        <v>194</v>
      </c>
      <c r="U58" s="231">
        <v>15000</v>
      </c>
      <c r="V58" s="104">
        <v>13500</v>
      </c>
      <c r="W58" s="104">
        <v>12555</v>
      </c>
      <c r="X58" s="104">
        <v>11676.15</v>
      </c>
      <c r="Y58" s="104">
        <v>10858.8195</v>
      </c>
      <c r="Z58" s="104">
        <v>10098.702135</v>
      </c>
      <c r="AA58" s="104">
        <v>9391.7929855499988</v>
      </c>
      <c r="AB58" s="104">
        <v>8734.3674765614978</v>
      </c>
      <c r="AC58" s="104">
        <v>8122.9617532021921</v>
      </c>
      <c r="AD58" s="104">
        <v>7554.354430478038</v>
      </c>
      <c r="AE58" s="104">
        <v>7025.5496203445746</v>
      </c>
      <c r="AG58" s="12" t="s">
        <v>363</v>
      </c>
      <c r="AI58" s="41" t="s">
        <v>196</v>
      </c>
      <c r="AJ58" s="63">
        <v>261.28071598317717</v>
      </c>
      <c r="AK58" s="63">
        <v>243.86387190029191</v>
      </c>
      <c r="AL58" s="63">
        <v>229.06133487594411</v>
      </c>
      <c r="AM58" s="63">
        <v>215.15731184897433</v>
      </c>
      <c r="AN58" s="63">
        <v>202.09726301974166</v>
      </c>
      <c r="AO58" s="63">
        <v>189.82995915444326</v>
      </c>
      <c r="AP58" s="63">
        <v>178.3072806337685</v>
      </c>
      <c r="AQ58" s="63">
        <v>167.48402869929882</v>
      </c>
      <c r="AR58" s="63">
        <v>157.31774815725143</v>
      </c>
      <c r="AS58" s="63">
        <v>147.76856084410622</v>
      </c>
      <c r="AT58" s="63">
        <v>138.7990092008688</v>
      </c>
    </row>
    <row r="59" spans="1:46" ht="15" x14ac:dyDescent="0.25">
      <c r="A59" s="151" t="s">
        <v>281</v>
      </c>
      <c r="B59" s="271">
        <v>20</v>
      </c>
      <c r="C59" s="267">
        <v>27.5</v>
      </c>
      <c r="E59" s="7"/>
      <c r="F59" s="184" t="s">
        <v>347</v>
      </c>
      <c r="G59" s="442"/>
      <c r="H59" s="442"/>
      <c r="I59" s="442"/>
      <c r="J59" s="442"/>
      <c r="O59" s="19"/>
      <c r="P59" s="19"/>
      <c r="Q59" s="19"/>
      <c r="R59" s="19"/>
      <c r="S59" s="19"/>
      <c r="T59" s="211" t="s">
        <v>225</v>
      </c>
      <c r="U59" s="229">
        <v>2020</v>
      </c>
      <c r="V59" s="229">
        <v>2021</v>
      </c>
      <c r="W59" s="229">
        <v>2022</v>
      </c>
      <c r="X59" s="229">
        <v>2023</v>
      </c>
      <c r="Y59" s="229">
        <v>2024</v>
      </c>
      <c r="Z59" s="229">
        <v>2025</v>
      </c>
      <c r="AA59" s="229">
        <v>2026</v>
      </c>
      <c r="AB59" s="229">
        <v>2027</v>
      </c>
      <c r="AC59" s="229">
        <v>2028</v>
      </c>
      <c r="AD59" s="229">
        <v>2029</v>
      </c>
      <c r="AE59" s="229">
        <v>2030</v>
      </c>
      <c r="AG59" s="12" t="s">
        <v>363</v>
      </c>
      <c r="AI59" s="41" t="s">
        <v>232</v>
      </c>
      <c r="AJ59" s="63">
        <v>293.04567710224308</v>
      </c>
      <c r="AK59" s="63">
        <v>274.49964714090174</v>
      </c>
      <c r="AL59" s="63">
        <v>257.83751855944888</v>
      </c>
      <c r="AM59" s="63">
        <v>242.1867811828904</v>
      </c>
      <c r="AN59" s="63">
        <v>227.48604356508903</v>
      </c>
      <c r="AO59" s="63">
        <v>213.67764072068803</v>
      </c>
      <c r="AP59" s="63">
        <v>200.70740792894219</v>
      </c>
      <c r="AQ59" s="63">
        <v>188.52446826765549</v>
      </c>
      <c r="AR59" s="63">
        <v>177.08103304380884</v>
      </c>
      <c r="AS59" s="63">
        <v>166.3322143380496</v>
      </c>
      <c r="AT59" s="63">
        <v>156.23584892772979</v>
      </c>
    </row>
    <row r="60" spans="1:46" x14ac:dyDescent="0.2">
      <c r="A60" s="151" t="s">
        <v>282</v>
      </c>
      <c r="B60" s="272">
        <v>2500</v>
      </c>
      <c r="C60" s="266">
        <v>15000</v>
      </c>
      <c r="E60" s="7"/>
      <c r="F60" s="185" t="s">
        <v>82</v>
      </c>
      <c r="G60" s="442">
        <v>247.65774322375162</v>
      </c>
      <c r="H60" s="442"/>
      <c r="I60" s="442">
        <v>411.15853436476311</v>
      </c>
      <c r="J60" s="442"/>
      <c r="O60" s="19"/>
      <c r="P60" s="506"/>
      <c r="Q60" s="506"/>
      <c r="R60" s="19"/>
      <c r="S60" s="19"/>
      <c r="T60" s="210" t="s">
        <v>209</v>
      </c>
      <c r="U60" s="212">
        <v>31.764961119065894</v>
      </c>
      <c r="V60" s="230">
        <v>30.635775240609817</v>
      </c>
      <c r="W60" s="230">
        <v>28.776183683504797</v>
      </c>
      <c r="X60" s="230">
        <v>27.029469333916055</v>
      </c>
      <c r="Y60" s="230">
        <v>25.388780545347363</v>
      </c>
      <c r="Z60" s="230">
        <v>23.847681566244766</v>
      </c>
      <c r="AA60" s="230">
        <v>22.400127295173704</v>
      </c>
      <c r="AB60" s="230">
        <v>21.040439568356671</v>
      </c>
      <c r="AC60" s="230">
        <v>19.763284886557425</v>
      </c>
      <c r="AD60" s="230">
        <v>18.563653493943384</v>
      </c>
      <c r="AE60" s="230">
        <v>17.436839726861002</v>
      </c>
      <c r="AG60" s="12" t="s">
        <v>363</v>
      </c>
    </row>
    <row r="61" spans="1:46" ht="13.5" thickBot="1" x14ac:dyDescent="0.25">
      <c r="A61" s="152" t="s">
        <v>283</v>
      </c>
      <c r="B61" s="273">
        <v>7.0000000000000007E-2</v>
      </c>
      <c r="C61" s="274">
        <v>0.1</v>
      </c>
      <c r="F61" s="185" t="s">
        <v>83</v>
      </c>
      <c r="G61" s="442">
        <v>833.1567588326152</v>
      </c>
      <c r="H61" s="442"/>
      <c r="I61" s="442">
        <v>969.72011046600187</v>
      </c>
      <c r="J61" s="442"/>
      <c r="O61" s="19"/>
      <c r="P61" s="19"/>
      <c r="Q61" s="19"/>
      <c r="R61" s="19"/>
      <c r="S61" s="19"/>
      <c r="T61" s="210" t="s">
        <v>210</v>
      </c>
      <c r="U61" s="212">
        <v>261.28071598317717</v>
      </c>
      <c r="V61" s="230">
        <v>243.86387190029191</v>
      </c>
      <c r="W61" s="230">
        <v>229.06133487594411</v>
      </c>
      <c r="X61" s="230">
        <v>215.15731184897433</v>
      </c>
      <c r="Y61" s="230">
        <v>202.09726301974166</v>
      </c>
      <c r="Z61" s="230">
        <v>189.82995915444326</v>
      </c>
      <c r="AA61" s="230">
        <v>178.3072806337685</v>
      </c>
      <c r="AB61" s="230">
        <v>167.48402869929882</v>
      </c>
      <c r="AC61" s="230">
        <v>157.31774815725143</v>
      </c>
      <c r="AD61" s="230">
        <v>147.76856084410622</v>
      </c>
      <c r="AE61" s="230">
        <v>138.7990092008688</v>
      </c>
      <c r="AG61" s="12" t="s">
        <v>363</v>
      </c>
    </row>
    <row r="62" spans="1:46" ht="20.25" x14ac:dyDescent="0.3">
      <c r="A62" s="479" t="s">
        <v>273</v>
      </c>
      <c r="B62" s="480"/>
      <c r="C62" s="480"/>
      <c r="D62" s="481"/>
      <c r="F62" s="185" t="s">
        <v>328</v>
      </c>
      <c r="G62" s="442">
        <v>0</v>
      </c>
      <c r="H62" s="442"/>
      <c r="I62" s="442">
        <v>0</v>
      </c>
      <c r="J62" s="442"/>
      <c r="O62" s="19"/>
      <c r="P62" s="19"/>
      <c r="Q62" s="19"/>
      <c r="R62" s="19"/>
      <c r="S62" s="19"/>
      <c r="T62" s="210" t="s">
        <v>211</v>
      </c>
      <c r="U62" s="212">
        <v>293.04567710224308</v>
      </c>
      <c r="V62" s="212">
        <v>274.49964714090174</v>
      </c>
      <c r="W62" s="212">
        <v>257.83751855944888</v>
      </c>
      <c r="X62" s="212">
        <v>242.1867811828904</v>
      </c>
      <c r="Y62" s="212">
        <v>227.48604356508903</v>
      </c>
      <c r="Z62" s="212">
        <v>213.67764072068803</v>
      </c>
      <c r="AA62" s="212">
        <v>200.70740792894219</v>
      </c>
      <c r="AB62" s="212">
        <v>188.52446826765549</v>
      </c>
      <c r="AC62" s="212">
        <v>177.08103304380884</v>
      </c>
      <c r="AD62" s="212">
        <v>166.3322143380496</v>
      </c>
      <c r="AE62" s="212">
        <v>156.23584892772979</v>
      </c>
      <c r="AF62" s="212">
        <v>2397.6142807774472</v>
      </c>
      <c r="AG62" s="12" t="s">
        <v>363</v>
      </c>
    </row>
    <row r="63" spans="1:46" ht="25.5" x14ac:dyDescent="0.35">
      <c r="A63" s="171" t="s">
        <v>265</v>
      </c>
      <c r="B63" s="166" t="s">
        <v>249</v>
      </c>
      <c r="C63" s="166" t="s">
        <v>250</v>
      </c>
      <c r="D63" s="167" t="s">
        <v>251</v>
      </c>
      <c r="F63" s="315" t="s">
        <v>346</v>
      </c>
      <c r="G63" s="482">
        <v>1080.8145020563668</v>
      </c>
      <c r="H63" s="482"/>
      <c r="I63" s="482">
        <v>1380.8786448307651</v>
      </c>
      <c r="J63" s="482"/>
      <c r="O63" s="19"/>
      <c r="P63" s="19"/>
      <c r="Q63" s="19"/>
      <c r="T63" s="221" t="s">
        <v>226</v>
      </c>
      <c r="U63" s="227">
        <v>2168.5380105565987</v>
      </c>
      <c r="V63" s="227">
        <v>2031.2973888426729</v>
      </c>
      <c r="W63" s="227">
        <v>1907.9976373399218</v>
      </c>
      <c r="X63" s="227">
        <v>1792.182180753389</v>
      </c>
      <c r="Y63" s="227">
        <v>1683.3967223816589</v>
      </c>
      <c r="Z63" s="227">
        <v>1581.2145413330916</v>
      </c>
      <c r="AA63" s="227">
        <v>1485.2348186741722</v>
      </c>
      <c r="AB63" s="227">
        <v>1395.0810651806507</v>
      </c>
      <c r="AC63" s="227">
        <v>1310.3996445241855</v>
      </c>
      <c r="AD63" s="227">
        <v>1230.858386101567</v>
      </c>
      <c r="AE63" s="227">
        <v>1156.1452820652005</v>
      </c>
      <c r="AF63" s="228">
        <v>17742.34567775311</v>
      </c>
      <c r="AG63" s="12" t="s">
        <v>363</v>
      </c>
      <c r="AI63" s="124" t="s">
        <v>252</v>
      </c>
    </row>
    <row r="64" spans="1:46" ht="18" x14ac:dyDescent="0.25">
      <c r="A64" s="148" t="s">
        <v>266</v>
      </c>
      <c r="B64" s="269">
        <v>5.1999999999999998E-2</v>
      </c>
      <c r="C64" s="269">
        <v>4.2000000000000003E-2</v>
      </c>
      <c r="D64" s="270">
        <v>0.02</v>
      </c>
      <c r="F64" s="184" t="s">
        <v>345</v>
      </c>
      <c r="G64" s="442"/>
      <c r="H64" s="442"/>
      <c r="I64" s="442"/>
      <c r="J64" s="442"/>
      <c r="O64" s="19"/>
      <c r="P64" s="19"/>
      <c r="Q64" s="19"/>
      <c r="T64" s="337" t="s">
        <v>398</v>
      </c>
      <c r="U64" s="338">
        <v>2020</v>
      </c>
      <c r="V64" s="338">
        <v>2021</v>
      </c>
      <c r="W64" s="338">
        <v>2022</v>
      </c>
      <c r="X64" s="338">
        <v>2023</v>
      </c>
      <c r="Y64" s="338">
        <v>2024</v>
      </c>
      <c r="Z64" s="338">
        <v>2025</v>
      </c>
      <c r="AA64" s="338">
        <v>2026</v>
      </c>
      <c r="AB64" s="338">
        <v>2027</v>
      </c>
      <c r="AC64" s="338">
        <v>2028</v>
      </c>
      <c r="AD64" s="338">
        <v>2029</v>
      </c>
      <c r="AE64" s="338">
        <v>2030</v>
      </c>
      <c r="AF64" s="339"/>
      <c r="AG64" s="12" t="s">
        <v>363</v>
      </c>
      <c r="AI64" s="122" t="s">
        <v>253</v>
      </c>
      <c r="AJ64">
        <v>2020</v>
      </c>
      <c r="AK64">
        <v>2021</v>
      </c>
      <c r="AL64">
        <v>2022</v>
      </c>
      <c r="AM64">
        <v>2023</v>
      </c>
      <c r="AN64">
        <v>2024</v>
      </c>
      <c r="AO64">
        <v>2025</v>
      </c>
      <c r="AP64">
        <v>2026</v>
      </c>
      <c r="AQ64">
        <v>2027</v>
      </c>
      <c r="AR64">
        <v>2028</v>
      </c>
      <c r="AS64">
        <v>2029</v>
      </c>
      <c r="AT64">
        <v>2030</v>
      </c>
    </row>
    <row r="65" spans="1:46" ht="18" x14ac:dyDescent="0.25">
      <c r="A65" s="148" t="s">
        <v>267</v>
      </c>
      <c r="B65" s="269">
        <v>0.1</v>
      </c>
      <c r="C65" s="269">
        <v>7.4999999999999997E-2</v>
      </c>
      <c r="D65" s="270">
        <v>7.4999999999999997E-2</v>
      </c>
      <c r="F65" s="185" t="s">
        <v>249</v>
      </c>
      <c r="G65" s="442">
        <v>16.753317923959667</v>
      </c>
      <c r="H65" s="442"/>
      <c r="I65" s="442">
        <v>27.813665559969266</v>
      </c>
      <c r="J65" s="442"/>
      <c r="O65" s="19"/>
      <c r="P65" s="19"/>
      <c r="Q65" s="19"/>
      <c r="T65" s="338" t="s">
        <v>298</v>
      </c>
      <c r="U65" s="340">
        <v>0</v>
      </c>
      <c r="V65" s="340">
        <v>0</v>
      </c>
      <c r="W65" s="340">
        <v>0</v>
      </c>
      <c r="X65" s="340">
        <v>0</v>
      </c>
      <c r="Y65" s="340">
        <v>0</v>
      </c>
      <c r="Z65" s="340">
        <v>0</v>
      </c>
      <c r="AA65" s="340">
        <v>0</v>
      </c>
      <c r="AB65" s="340">
        <v>0</v>
      </c>
      <c r="AC65" s="340">
        <v>0</v>
      </c>
      <c r="AD65" s="340">
        <v>0</v>
      </c>
      <c r="AE65" s="340">
        <v>0</v>
      </c>
      <c r="AF65" s="341">
        <v>0</v>
      </c>
      <c r="AG65" s="12" t="s">
        <v>363</v>
      </c>
      <c r="AI65" s="41" t="s">
        <v>249</v>
      </c>
      <c r="AJ65" s="63">
        <v>3762.4231773175684</v>
      </c>
      <c r="AK65" s="63">
        <v>3958.0691825380823</v>
      </c>
      <c r="AL65" s="63">
        <v>4163.8887800300627</v>
      </c>
      <c r="AM65" s="63">
        <v>4380.4109965916259</v>
      </c>
      <c r="AN65" s="63">
        <v>4608.1923684143903</v>
      </c>
      <c r="AO65" s="63">
        <v>4847.8183715719388</v>
      </c>
      <c r="AP65" s="63">
        <v>5099.9049268936797</v>
      </c>
      <c r="AQ65" s="63">
        <v>5365.099983092151</v>
      </c>
      <c r="AR65" s="63">
        <v>5644.0851822129434</v>
      </c>
      <c r="AS65" s="63">
        <v>5937.577611688017</v>
      </c>
      <c r="AT65" s="63">
        <v>6246.3316474957937</v>
      </c>
    </row>
    <row r="66" spans="1:46" ht="18" x14ac:dyDescent="0.25">
      <c r="A66" s="148" t="s">
        <v>269</v>
      </c>
      <c r="B66" s="275">
        <v>17600</v>
      </c>
      <c r="C66" s="275">
        <v>22500</v>
      </c>
      <c r="D66" s="276">
        <v>82000</v>
      </c>
      <c r="F66" s="185" t="s">
        <v>250</v>
      </c>
      <c r="G66" s="442">
        <v>23.978401849648645</v>
      </c>
      <c r="H66" s="442"/>
      <c r="I66" s="442">
        <v>36.182404443049187</v>
      </c>
      <c r="J66" s="442"/>
      <c r="O66" s="19"/>
      <c r="P66" s="19"/>
      <c r="Q66" s="19"/>
      <c r="T66" s="338" t="s">
        <v>439</v>
      </c>
      <c r="U66" s="342">
        <v>0</v>
      </c>
      <c r="V66" s="342">
        <v>0</v>
      </c>
      <c r="W66" s="342">
        <v>0</v>
      </c>
      <c r="X66" s="342">
        <v>0</v>
      </c>
      <c r="Y66" s="342">
        <v>0</v>
      </c>
      <c r="Z66" s="342">
        <v>0</v>
      </c>
      <c r="AA66" s="342">
        <v>0</v>
      </c>
      <c r="AB66" s="342">
        <v>0</v>
      </c>
      <c r="AC66" s="342">
        <v>0</v>
      </c>
      <c r="AD66" s="342">
        <v>0</v>
      </c>
      <c r="AE66" s="342">
        <v>0</v>
      </c>
      <c r="AF66" s="341">
        <v>0</v>
      </c>
      <c r="AG66" s="12" t="s">
        <v>363</v>
      </c>
      <c r="AI66" s="41" t="s">
        <v>250</v>
      </c>
      <c r="AJ66" s="63">
        <v>1893.5798665125683</v>
      </c>
      <c r="AK66" s="63">
        <v>1973.1102209060962</v>
      </c>
      <c r="AL66" s="63">
        <v>2055.9808501841521</v>
      </c>
      <c r="AM66" s="63">
        <v>2142.3320458918865</v>
      </c>
      <c r="AN66" s="63">
        <v>2232.3099918193457</v>
      </c>
      <c r="AO66" s="63">
        <v>2326.0670114757581</v>
      </c>
      <c r="AP66" s="63">
        <v>2423.7618259577403</v>
      </c>
      <c r="AQ66" s="63">
        <v>2525.5598226479656</v>
      </c>
      <c r="AR66" s="63">
        <v>2631.6333351991802</v>
      </c>
      <c r="AS66" s="63">
        <v>2742.161935277546</v>
      </c>
      <c r="AT66" s="63">
        <v>2857.3327365592031</v>
      </c>
    </row>
    <row r="67" spans="1:46" ht="18" x14ac:dyDescent="0.25">
      <c r="A67" s="148" t="s">
        <v>268</v>
      </c>
      <c r="B67" s="271">
        <v>11</v>
      </c>
      <c r="C67" s="271">
        <v>21</v>
      </c>
      <c r="D67" s="267">
        <v>31</v>
      </c>
      <c r="F67" s="185" t="s">
        <v>251</v>
      </c>
      <c r="G67" s="442">
        <v>23.978401849648645</v>
      </c>
      <c r="H67" s="442"/>
      <c r="I67" s="442">
        <v>36.182404443049187</v>
      </c>
      <c r="J67" s="442"/>
      <c r="O67" s="19"/>
      <c r="P67" s="19"/>
      <c r="Q67" s="19"/>
      <c r="T67" s="338" t="s">
        <v>440</v>
      </c>
      <c r="U67" s="340">
        <v>0</v>
      </c>
      <c r="V67" s="340">
        <v>0</v>
      </c>
      <c r="W67" s="340">
        <v>0</v>
      </c>
      <c r="X67" s="340">
        <v>0</v>
      </c>
      <c r="Y67" s="340">
        <v>0</v>
      </c>
      <c r="Z67" s="340">
        <v>0</v>
      </c>
      <c r="AA67" s="340">
        <v>0</v>
      </c>
      <c r="AB67" s="340">
        <v>0</v>
      </c>
      <c r="AC67" s="340">
        <v>0</v>
      </c>
      <c r="AD67" s="340">
        <v>0</v>
      </c>
      <c r="AE67" s="340">
        <v>0</v>
      </c>
      <c r="AF67" s="341">
        <v>0</v>
      </c>
      <c r="AG67" s="12" t="s">
        <v>363</v>
      </c>
      <c r="AI67" s="41" t="s">
        <v>251</v>
      </c>
      <c r="AJ67" s="63">
        <v>499.34187352800001</v>
      </c>
      <c r="AK67" s="63">
        <v>509.32871099856004</v>
      </c>
      <c r="AL67" s="63">
        <v>519.51528521853129</v>
      </c>
      <c r="AM67" s="63">
        <v>529.90559092290198</v>
      </c>
      <c r="AN67" s="63">
        <v>540.50370274136003</v>
      </c>
      <c r="AO67" s="63">
        <v>551.3137767961872</v>
      </c>
      <c r="AP67" s="63">
        <v>562.34005233211099</v>
      </c>
      <c r="AQ67" s="63">
        <v>573.58685337875318</v>
      </c>
      <c r="AR67" s="63">
        <v>585.05859044632825</v>
      </c>
      <c r="AS67" s="63">
        <v>596.75976225525483</v>
      </c>
      <c r="AT67" s="63">
        <v>608.69495750035992</v>
      </c>
    </row>
    <row r="68" spans="1:46" ht="18" x14ac:dyDescent="0.25">
      <c r="A68" s="148" t="s">
        <v>270</v>
      </c>
      <c r="B68" s="271">
        <v>40</v>
      </c>
      <c r="C68" s="271">
        <v>80</v>
      </c>
      <c r="D68" s="267">
        <v>125</v>
      </c>
      <c r="F68" s="315" t="s">
        <v>344</v>
      </c>
      <c r="G68" s="482">
        <v>34.017964739219103</v>
      </c>
      <c r="H68" s="482"/>
      <c r="I68" s="482">
        <v>41.467709196686513</v>
      </c>
      <c r="J68" s="482"/>
      <c r="T68" s="338" t="s">
        <v>299</v>
      </c>
      <c r="U68" s="342">
        <v>0</v>
      </c>
      <c r="V68" s="342">
        <v>0</v>
      </c>
      <c r="W68" s="342">
        <v>0</v>
      </c>
      <c r="X68" s="342">
        <v>0</v>
      </c>
      <c r="Y68" s="342">
        <v>0</v>
      </c>
      <c r="Z68" s="342">
        <v>0</v>
      </c>
      <c r="AA68" s="342">
        <v>0</v>
      </c>
      <c r="AB68" s="342">
        <v>0</v>
      </c>
      <c r="AC68" s="342">
        <v>0</v>
      </c>
      <c r="AD68" s="342">
        <v>0</v>
      </c>
      <c r="AE68" s="342">
        <v>0</v>
      </c>
      <c r="AF68" s="341">
        <v>0</v>
      </c>
      <c r="AG68" s="12" t="s">
        <v>363</v>
      </c>
      <c r="AI68" s="122" t="s">
        <v>254</v>
      </c>
    </row>
    <row r="69" spans="1:46" ht="18" x14ac:dyDescent="0.25">
      <c r="A69" s="148" t="s">
        <v>271</v>
      </c>
      <c r="B69" s="272">
        <v>2500</v>
      </c>
      <c r="C69" s="272">
        <v>20000</v>
      </c>
      <c r="D69" s="266">
        <v>65000</v>
      </c>
      <c r="T69" s="338" t="s">
        <v>297</v>
      </c>
      <c r="U69" s="343">
        <v>0</v>
      </c>
      <c r="V69" s="343">
        <v>0</v>
      </c>
      <c r="W69" s="343">
        <v>0</v>
      </c>
      <c r="X69" s="343">
        <v>0</v>
      </c>
      <c r="Y69" s="343">
        <v>0</v>
      </c>
      <c r="Z69" s="343">
        <v>0</v>
      </c>
      <c r="AA69" s="343">
        <v>0</v>
      </c>
      <c r="AB69" s="343">
        <v>0</v>
      </c>
      <c r="AC69" s="343">
        <v>0</v>
      </c>
      <c r="AD69" s="343">
        <v>0</v>
      </c>
      <c r="AE69" s="343">
        <v>0</v>
      </c>
      <c r="AF69" s="341">
        <v>0</v>
      </c>
      <c r="AG69" s="12" t="s">
        <v>363</v>
      </c>
      <c r="AI69" s="41" t="s">
        <v>249</v>
      </c>
      <c r="AJ69" s="63">
        <v>357.64478871840004</v>
      </c>
      <c r="AK69" s="63">
        <v>376.24231773175688</v>
      </c>
      <c r="AL69" s="63">
        <v>395.80691825380825</v>
      </c>
      <c r="AM69" s="63">
        <v>416.38887800300631</v>
      </c>
      <c r="AN69" s="63">
        <v>438.04109965916263</v>
      </c>
      <c r="AO69" s="63">
        <v>460.81923684143908</v>
      </c>
      <c r="AP69" s="63">
        <v>484.78183715719388</v>
      </c>
      <c r="AQ69" s="63">
        <v>509.99049268936801</v>
      </c>
      <c r="AR69" s="63">
        <v>536.50999830921512</v>
      </c>
      <c r="AS69" s="63">
        <v>564.40851822129434</v>
      </c>
      <c r="AT69" s="63">
        <v>593.75776116880172</v>
      </c>
    </row>
    <row r="70" spans="1:46" ht="18.75" thickBot="1" x14ac:dyDescent="0.3">
      <c r="A70" s="155" t="s">
        <v>272</v>
      </c>
      <c r="B70" s="277">
        <v>0.1</v>
      </c>
      <c r="C70" s="277">
        <v>0.04</v>
      </c>
      <c r="D70" s="278">
        <v>0.04</v>
      </c>
      <c r="T70" s="338" t="s">
        <v>300</v>
      </c>
      <c r="U70" s="343">
        <v>0</v>
      </c>
      <c r="V70" s="343">
        <v>0</v>
      </c>
      <c r="W70" s="343">
        <v>0</v>
      </c>
      <c r="X70" s="343">
        <v>0</v>
      </c>
      <c r="Y70" s="343">
        <v>0</v>
      </c>
      <c r="Z70" s="343">
        <v>0</v>
      </c>
      <c r="AA70" s="343">
        <v>0</v>
      </c>
      <c r="AB70" s="343">
        <v>0</v>
      </c>
      <c r="AC70" s="343">
        <v>0</v>
      </c>
      <c r="AD70" s="343">
        <v>0</v>
      </c>
      <c r="AE70" s="343">
        <v>0</v>
      </c>
      <c r="AF70" s="341">
        <v>0</v>
      </c>
      <c r="AG70" s="12" t="s">
        <v>363</v>
      </c>
      <c r="AI70" s="41" t="s">
        <v>250</v>
      </c>
      <c r="AJ70" s="63">
        <v>136.29413626530001</v>
      </c>
      <c r="AK70" s="63">
        <v>142.01848998844261</v>
      </c>
      <c r="AL70" s="63">
        <v>147.9832665679572</v>
      </c>
      <c r="AM70" s="63">
        <v>154.19856376381139</v>
      </c>
      <c r="AN70" s="63">
        <v>160.67490344189147</v>
      </c>
      <c r="AO70" s="63">
        <v>167.42324938645092</v>
      </c>
      <c r="AP70" s="63">
        <v>174.45502586068184</v>
      </c>
      <c r="AQ70" s="63">
        <v>181.78213694683052</v>
      </c>
      <c r="AR70" s="63">
        <v>189.41698669859741</v>
      </c>
      <c r="AS70" s="63">
        <v>197.37250013993852</v>
      </c>
      <c r="AT70" s="63">
        <v>205.66214514581594</v>
      </c>
    </row>
    <row r="71" spans="1:46" ht="20.25" x14ac:dyDescent="0.3">
      <c r="A71" s="200" t="s">
        <v>313</v>
      </c>
      <c r="B71" s="168" t="s">
        <v>301</v>
      </c>
      <c r="C71" s="169">
        <v>2030</v>
      </c>
      <c r="AG71" s="12" t="s">
        <v>363</v>
      </c>
      <c r="AI71" s="41" t="s">
        <v>251</v>
      </c>
      <c r="AJ71" s="63">
        <v>36.716314229999995</v>
      </c>
      <c r="AK71" s="63">
        <v>37.450640514599996</v>
      </c>
      <c r="AL71" s="63">
        <v>38.199653324892004</v>
      </c>
      <c r="AM71" s="63">
        <v>38.963646391389844</v>
      </c>
      <c r="AN71" s="63">
        <v>39.742919319217648</v>
      </c>
      <c r="AO71" s="63">
        <v>40.537777705602004</v>
      </c>
      <c r="AP71" s="63">
        <v>41.348533259714038</v>
      </c>
      <c r="AQ71" s="63">
        <v>42.17550392490832</v>
      </c>
      <c r="AR71" s="63">
        <v>43.01901400340649</v>
      </c>
      <c r="AS71" s="63">
        <v>43.879394283474618</v>
      </c>
      <c r="AT71" s="63">
        <v>44.756982169144109</v>
      </c>
    </row>
    <row r="72" spans="1:46" ht="15" x14ac:dyDescent="0.25">
      <c r="A72" s="149" t="s">
        <v>320</v>
      </c>
      <c r="B72" s="115">
        <v>16000</v>
      </c>
      <c r="C72" s="279">
        <v>16000</v>
      </c>
      <c r="T72" s="210" t="s">
        <v>404</v>
      </c>
      <c r="U72" s="225">
        <v>2020</v>
      </c>
      <c r="V72" s="225">
        <v>2021</v>
      </c>
      <c r="W72" s="225">
        <v>2022</v>
      </c>
      <c r="X72" s="225">
        <v>2023</v>
      </c>
      <c r="Y72" s="225">
        <v>2024</v>
      </c>
      <c r="Z72" s="225">
        <v>2025</v>
      </c>
      <c r="AA72" s="225">
        <v>2026</v>
      </c>
      <c r="AB72" s="225">
        <v>2027</v>
      </c>
      <c r="AC72" s="225">
        <v>2028</v>
      </c>
      <c r="AD72" s="225">
        <v>2029</v>
      </c>
      <c r="AE72" s="225">
        <v>2030</v>
      </c>
      <c r="AF72" s="225"/>
      <c r="AG72" s="12" t="s">
        <v>363</v>
      </c>
      <c r="AI72" s="122" t="s">
        <v>257</v>
      </c>
    </row>
    <row r="73" spans="1:46" ht="15" x14ac:dyDescent="0.25">
      <c r="A73" s="470" t="s">
        <v>220</v>
      </c>
      <c r="B73" s="471"/>
      <c r="C73" s="472"/>
      <c r="T73" s="210" t="s">
        <v>293</v>
      </c>
      <c r="U73" s="226">
        <v>1207.617654540777</v>
      </c>
      <c r="V73" s="226">
        <v>1213.7215920828289</v>
      </c>
      <c r="W73" s="226">
        <v>1224.8071178847074</v>
      </c>
      <c r="X73" s="226">
        <v>1236.2002593880861</v>
      </c>
      <c r="Y73" s="226">
        <v>1247.8863983492699</v>
      </c>
      <c r="Z73" s="226">
        <v>1259.8524906781327</v>
      </c>
      <c r="AA73" s="226">
        <v>1272.0869168733493</v>
      </c>
      <c r="AB73" s="226">
        <v>1284.5793468529123</v>
      </c>
      <c r="AC73" s="226">
        <v>1297.3206177981799</v>
      </c>
      <c r="AD73" s="226">
        <v>1310.3026237622068</v>
      </c>
      <c r="AE73" s="226">
        <v>1323.518215912939</v>
      </c>
      <c r="AF73" s="226">
        <v>13877.893234123389</v>
      </c>
      <c r="AG73" s="12" t="s">
        <v>363</v>
      </c>
      <c r="AI73" s="41" t="s">
        <v>249</v>
      </c>
      <c r="AJ73" s="63">
        <v>543.62007885196829</v>
      </c>
      <c r="AK73" s="57">
        <v>571.88832295227076</v>
      </c>
      <c r="AL73" s="57">
        <v>601.62651574578865</v>
      </c>
      <c r="AM73" s="57">
        <v>632.91109456456957</v>
      </c>
      <c r="AN73" s="57">
        <v>665.8224714819271</v>
      </c>
      <c r="AO73" s="57">
        <v>700.44523999898752</v>
      </c>
      <c r="AP73" s="57">
        <v>736.86839247893477</v>
      </c>
      <c r="AQ73" s="57">
        <v>775.18554888783933</v>
      </c>
      <c r="AR73" s="57">
        <v>815.49519743000758</v>
      </c>
      <c r="AS73" s="57">
        <v>857.90094769636789</v>
      </c>
      <c r="AT73" s="57">
        <v>902.51179697657847</v>
      </c>
    </row>
    <row r="74" spans="1:46" x14ac:dyDescent="0.2">
      <c r="A74" s="149" t="s">
        <v>46</v>
      </c>
      <c r="B74" s="116">
        <v>2E-3</v>
      </c>
      <c r="C74" s="145">
        <v>2E-3</v>
      </c>
      <c r="T74" s="210" t="s">
        <v>294</v>
      </c>
      <c r="U74" s="226">
        <v>2.3722999307843335</v>
      </c>
      <c r="V74" s="226">
        <v>2.4929713803947644</v>
      </c>
      <c r="W74" s="226">
        <v>2.6144744528687323</v>
      </c>
      <c r="X74" s="226">
        <v>2.7285014239662053</v>
      </c>
      <c r="Y74" s="226">
        <v>2.8358147379601788</v>
      </c>
      <c r="Z74" s="226">
        <v>2.9371049702260432</v>
      </c>
      <c r="AA74" s="226">
        <v>3.0329976971650758</v>
      </c>
      <c r="AB74" s="226">
        <v>3.1240597095281473</v>
      </c>
      <c r="AC74" s="226">
        <v>3.2108046320411936</v>
      </c>
      <c r="AD74" s="226">
        <v>3.2936980061965939</v>
      </c>
      <c r="AE74" s="226">
        <v>3.3731618876178562</v>
      </c>
      <c r="AF74" s="226">
        <v>32.015888828749127</v>
      </c>
      <c r="AG74" s="12" t="s">
        <v>363</v>
      </c>
      <c r="AI74" s="41" t="s">
        <v>250</v>
      </c>
      <c r="AJ74" s="63">
        <v>212.618852573868</v>
      </c>
      <c r="AK74" s="57">
        <v>221.5488443819705</v>
      </c>
      <c r="AL74" s="57">
        <v>230.85389584601316</v>
      </c>
      <c r="AM74" s="57">
        <v>240.5497594715458</v>
      </c>
      <c r="AN74" s="57">
        <v>250.65284936935061</v>
      </c>
      <c r="AO74" s="57">
        <v>261.18026904286342</v>
      </c>
      <c r="AP74" s="57">
        <v>272.14984034266399</v>
      </c>
      <c r="AQ74" s="57">
        <v>283.58013363705584</v>
      </c>
      <c r="AR74" s="57">
        <v>295.49049924981205</v>
      </c>
      <c r="AS74" s="57">
        <v>307.90110021830435</v>
      </c>
      <c r="AT74" s="57">
        <v>320.83294642747302</v>
      </c>
    </row>
    <row r="75" spans="1:46" x14ac:dyDescent="0.2">
      <c r="A75" s="149" t="s">
        <v>47</v>
      </c>
      <c r="B75" s="117">
        <v>5.3999999999999999E-2</v>
      </c>
      <c r="C75" s="280">
        <v>5.3999999999999999E-2</v>
      </c>
      <c r="T75" s="210" t="s">
        <v>295</v>
      </c>
      <c r="U75" s="226">
        <v>36510.458301716979</v>
      </c>
      <c r="V75" s="226">
        <v>36708.210450436454</v>
      </c>
      <c r="W75" s="226">
        <v>37055.368317976157</v>
      </c>
      <c r="X75" s="226">
        <v>37410.736564921994</v>
      </c>
      <c r="Y75" s="226">
        <v>37773.977287156711</v>
      </c>
      <c r="Z75" s="226">
        <v>38144.790259988884</v>
      </c>
      <c r="AA75" s="226">
        <v>38522.909363626524</v>
      </c>
      <c r="AB75" s="226">
        <v>38908.099353249709</v>
      </c>
      <c r="AC75" s="226">
        <v>39300.1529405908</v>
      </c>
      <c r="AD75" s="226">
        <v>39698.888157103487</v>
      </c>
      <c r="AE75" s="226">
        <v>40104.145971670914</v>
      </c>
      <c r="AF75" s="226">
        <v>420137.73696843866</v>
      </c>
      <c r="AG75" s="12" t="s">
        <v>363</v>
      </c>
      <c r="AI75" s="41" t="s">
        <v>251</v>
      </c>
      <c r="AJ75" s="63">
        <v>46.507331358000016</v>
      </c>
      <c r="AK75" s="57">
        <v>47.437477985160029</v>
      </c>
      <c r="AL75" s="57">
        <v>48.386227544863253</v>
      </c>
      <c r="AM75" s="57">
        <v>49.353952095760533</v>
      </c>
      <c r="AN75" s="57">
        <v>50.341031137675699</v>
      </c>
      <c r="AO75" s="57">
        <v>51.347851760429172</v>
      </c>
      <c r="AP75" s="57">
        <v>52.374808795637826</v>
      </c>
      <c r="AQ75" s="57">
        <v>53.42230497155051</v>
      </c>
      <c r="AR75" s="57">
        <v>54.490751070981567</v>
      </c>
      <c r="AS75" s="57">
        <v>55.580566092401192</v>
      </c>
      <c r="AT75" s="57">
        <v>56.692177414249201</v>
      </c>
    </row>
    <row r="76" spans="1:46" ht="15" x14ac:dyDescent="0.25">
      <c r="A76" s="149" t="s">
        <v>45</v>
      </c>
      <c r="B76" s="45">
        <v>0.94399999999999995</v>
      </c>
      <c r="C76" s="146">
        <v>0.94399999999999995</v>
      </c>
      <c r="T76" s="210" t="s">
        <v>296</v>
      </c>
      <c r="U76" s="226">
        <v>83.886864247647708</v>
      </c>
      <c r="V76" s="226">
        <v>84.325029138331558</v>
      </c>
      <c r="W76" s="226">
        <v>85.107764480360657</v>
      </c>
      <c r="X76" s="226">
        <v>85.91053088300437</v>
      </c>
      <c r="Y76" s="226">
        <v>86.732436737840501</v>
      </c>
      <c r="Z76" s="226">
        <v>87.572687915683233</v>
      </c>
      <c r="AA76" s="226">
        <v>88.430578510811401</v>
      </c>
      <c r="AB76" s="226">
        <v>89.305262245673504</v>
      </c>
      <c r="AC76" s="226">
        <v>90.196587376028901</v>
      </c>
      <c r="AD76" s="226">
        <v>91.103882455491899</v>
      </c>
      <c r="AE76" s="226">
        <v>92.026718582791446</v>
      </c>
      <c r="AF76" s="226">
        <v>964.59834257366515</v>
      </c>
      <c r="AG76" s="12" t="s">
        <v>363</v>
      </c>
      <c r="AI76" s="122" t="s">
        <v>255</v>
      </c>
    </row>
    <row r="77" spans="1:46" x14ac:dyDescent="0.2">
      <c r="A77" s="149" t="s">
        <v>302</v>
      </c>
      <c r="B77" s="123">
        <v>8.7671232876712329E-2</v>
      </c>
      <c r="C77" s="147">
        <v>8.7671232876712329E-2</v>
      </c>
      <c r="T77" s="210" t="s">
        <v>297</v>
      </c>
      <c r="U77" s="226">
        <v>293.04567710224308</v>
      </c>
      <c r="V77" s="226">
        <v>274.49964714090174</v>
      </c>
      <c r="W77" s="226">
        <v>257.83751855944888</v>
      </c>
      <c r="X77" s="226">
        <v>242.1867811828904</v>
      </c>
      <c r="Y77" s="226">
        <v>227.48604356508903</v>
      </c>
      <c r="Z77" s="226">
        <v>213.67764072068803</v>
      </c>
      <c r="AA77" s="226">
        <v>200.70740792894219</v>
      </c>
      <c r="AB77" s="226">
        <v>188.52446826765549</v>
      </c>
      <c r="AC77" s="226">
        <v>177.08103304380884</v>
      </c>
      <c r="AD77" s="226">
        <v>166.3322143380496</v>
      </c>
      <c r="AE77" s="226">
        <v>156.23584892772979</v>
      </c>
      <c r="AF77" s="226">
        <v>2397.6142807774472</v>
      </c>
      <c r="AG77" s="12" t="s">
        <v>363</v>
      </c>
      <c r="AI77" s="41" t="s">
        <v>249</v>
      </c>
      <c r="AJ77" s="130">
        <v>0</v>
      </c>
      <c r="AK77" s="130">
        <v>0</v>
      </c>
      <c r="AL77" s="130">
        <v>0</v>
      </c>
      <c r="AM77" s="130">
        <v>0</v>
      </c>
      <c r="AN77" s="130">
        <v>0</v>
      </c>
      <c r="AO77" s="130">
        <v>0</v>
      </c>
      <c r="AP77" s="130">
        <v>0</v>
      </c>
      <c r="AQ77" s="130">
        <v>0</v>
      </c>
      <c r="AR77" s="130">
        <v>0</v>
      </c>
      <c r="AS77" s="130">
        <v>0</v>
      </c>
      <c r="AT77" s="130">
        <v>0</v>
      </c>
    </row>
    <row r="78" spans="1:46" ht="15" x14ac:dyDescent="0.25">
      <c r="A78" s="464" t="s">
        <v>48</v>
      </c>
      <c r="B78" s="465"/>
      <c r="C78" s="466"/>
      <c r="T78" s="210" t="s">
        <v>300</v>
      </c>
      <c r="U78" s="226">
        <v>2168.5380105565987</v>
      </c>
      <c r="V78" s="226">
        <v>2031.2973888426729</v>
      </c>
      <c r="W78" s="226">
        <v>1907.9976373399218</v>
      </c>
      <c r="X78" s="226">
        <v>1792.182180753389</v>
      </c>
      <c r="Y78" s="226">
        <v>1683.3967223816589</v>
      </c>
      <c r="Z78" s="226">
        <v>1581.2145413330916</v>
      </c>
      <c r="AA78" s="226">
        <v>1485.2348186741722</v>
      </c>
      <c r="AB78" s="226">
        <v>1395.0810651806507</v>
      </c>
      <c r="AC78" s="226">
        <v>1310.3996445241855</v>
      </c>
      <c r="AD78" s="226">
        <v>1230.858386101567</v>
      </c>
      <c r="AE78" s="226">
        <v>1156.1452820652005</v>
      </c>
      <c r="AF78" s="226">
        <v>17742.34567775311</v>
      </c>
      <c r="AG78" s="12" t="s">
        <v>363</v>
      </c>
      <c r="AI78" s="41" t="s">
        <v>250</v>
      </c>
      <c r="AJ78" s="130">
        <v>0</v>
      </c>
      <c r="AK78" s="130">
        <v>0</v>
      </c>
      <c r="AL78" s="130">
        <v>0</v>
      </c>
      <c r="AM78" s="130">
        <v>0</v>
      </c>
      <c r="AN78" s="130">
        <v>0</v>
      </c>
      <c r="AO78" s="130">
        <v>0</v>
      </c>
      <c r="AP78" s="130">
        <v>0</v>
      </c>
      <c r="AQ78" s="130">
        <v>0</v>
      </c>
      <c r="AR78" s="130">
        <v>0</v>
      </c>
      <c r="AS78" s="130">
        <v>0</v>
      </c>
      <c r="AT78" s="130">
        <v>0</v>
      </c>
    </row>
    <row r="79" spans="1:46" ht="27.75" x14ac:dyDescent="0.4">
      <c r="A79" s="149" t="s">
        <v>414</v>
      </c>
      <c r="B79" s="114">
        <v>60</v>
      </c>
      <c r="C79" s="279">
        <v>60</v>
      </c>
      <c r="T79" s="515" t="s">
        <v>252</v>
      </c>
      <c r="U79" s="516"/>
      <c r="V79" s="516"/>
      <c r="W79" s="516"/>
      <c r="X79" s="516"/>
      <c r="Y79" s="516"/>
      <c r="Z79" s="516"/>
      <c r="AA79" s="516"/>
      <c r="AB79" s="516"/>
      <c r="AC79" s="516"/>
      <c r="AD79" s="516"/>
      <c r="AE79" s="517"/>
      <c r="AG79" s="12" t="s">
        <v>405</v>
      </c>
      <c r="AI79" s="41" t="s">
        <v>251</v>
      </c>
      <c r="AJ79" s="130">
        <v>0</v>
      </c>
      <c r="AK79" s="130">
        <v>0</v>
      </c>
      <c r="AL79" s="130">
        <v>0</v>
      </c>
      <c r="AM79" s="130">
        <v>0</v>
      </c>
      <c r="AN79" s="130">
        <v>0</v>
      </c>
      <c r="AO79" s="130">
        <v>0</v>
      </c>
      <c r="AP79" s="130">
        <v>0</v>
      </c>
      <c r="AQ79" s="130">
        <v>0</v>
      </c>
      <c r="AR79" s="130">
        <v>0</v>
      </c>
      <c r="AS79" s="130">
        <v>0</v>
      </c>
      <c r="AT79" s="130">
        <v>0</v>
      </c>
    </row>
    <row r="80" spans="1:46" ht="15" x14ac:dyDescent="0.25">
      <c r="A80" s="149" t="s">
        <v>361</v>
      </c>
      <c r="B80" s="119">
        <v>0.12</v>
      </c>
      <c r="C80" s="281">
        <v>0.12</v>
      </c>
      <c r="T80" s="214" t="s">
        <v>290</v>
      </c>
      <c r="U80" s="221">
        <v>2020</v>
      </c>
      <c r="V80" s="221">
        <v>2021</v>
      </c>
      <c r="W80" s="221">
        <v>2022</v>
      </c>
      <c r="X80" s="221">
        <v>2023</v>
      </c>
      <c r="Y80" s="221">
        <v>2024</v>
      </c>
      <c r="Z80" s="221">
        <v>2025</v>
      </c>
      <c r="AA80" s="221">
        <v>2026</v>
      </c>
      <c r="AB80" s="221">
        <v>2027</v>
      </c>
      <c r="AC80" s="221">
        <v>2028</v>
      </c>
      <c r="AD80" s="221">
        <v>2029</v>
      </c>
      <c r="AE80" s="221">
        <v>2030</v>
      </c>
      <c r="AG80" s="50" t="s">
        <v>405</v>
      </c>
      <c r="AI80" s="122" t="s">
        <v>258</v>
      </c>
    </row>
    <row r="81" spans="1:46" x14ac:dyDescent="0.2">
      <c r="A81" s="149" t="s">
        <v>221</v>
      </c>
      <c r="B81" s="119">
        <v>1</v>
      </c>
      <c r="C81" s="281">
        <v>1</v>
      </c>
      <c r="T81" s="314" t="s">
        <v>285</v>
      </c>
      <c r="U81" s="256">
        <v>247.65774322375162</v>
      </c>
      <c r="V81" s="256">
        <v>260.53594587138673</v>
      </c>
      <c r="W81" s="256">
        <v>274.08381505669888</v>
      </c>
      <c r="X81" s="256">
        <v>288.33617343964721</v>
      </c>
      <c r="Y81" s="256">
        <v>303.32965445850886</v>
      </c>
      <c r="Z81" s="256">
        <v>319.1027964903513</v>
      </c>
      <c r="AA81" s="256">
        <v>335.69614190784955</v>
      </c>
      <c r="AB81" s="256">
        <v>353.15234128705777</v>
      </c>
      <c r="AC81" s="256">
        <v>371.51626303398479</v>
      </c>
      <c r="AD81" s="256">
        <v>390.83510871175207</v>
      </c>
      <c r="AE81" s="256">
        <v>411.15853436476311</v>
      </c>
      <c r="AG81" s="50" t="s">
        <v>405</v>
      </c>
      <c r="AI81" s="41" t="s">
        <v>249</v>
      </c>
      <c r="AJ81" s="63">
        <v>0</v>
      </c>
      <c r="AK81" s="63">
        <v>0</v>
      </c>
      <c r="AL81" s="63">
        <v>0</v>
      </c>
      <c r="AM81" s="63">
        <v>0</v>
      </c>
      <c r="AN81" s="63">
        <v>0</v>
      </c>
      <c r="AO81" s="63">
        <v>0</v>
      </c>
      <c r="AP81" s="63">
        <v>0</v>
      </c>
      <c r="AQ81" s="63">
        <v>0</v>
      </c>
      <c r="AR81" s="63">
        <v>0</v>
      </c>
      <c r="AS81" s="63">
        <v>0</v>
      </c>
      <c r="AT81" s="63">
        <v>0</v>
      </c>
    </row>
    <row r="82" spans="1:46" x14ac:dyDescent="0.2">
      <c r="A82" s="149" t="s">
        <v>222</v>
      </c>
      <c r="B82" s="119">
        <v>1</v>
      </c>
      <c r="C82" s="282">
        <v>1</v>
      </c>
      <c r="T82" s="314" t="s">
        <v>286</v>
      </c>
      <c r="U82" s="256">
        <v>344.46584746696755</v>
      </c>
      <c r="V82" s="256">
        <v>358.93341306058028</v>
      </c>
      <c r="W82" s="256">
        <v>374.00861640912461</v>
      </c>
      <c r="X82" s="256">
        <v>389.71697829830777</v>
      </c>
      <c r="Y82" s="256">
        <v>406.08509138683672</v>
      </c>
      <c r="Z82" s="256">
        <v>423.14066522508386</v>
      </c>
      <c r="AA82" s="256">
        <v>440.91257316453743</v>
      </c>
      <c r="AB82" s="256">
        <v>459.4309012374481</v>
      </c>
      <c r="AC82" s="256">
        <v>478.72699908942099</v>
      </c>
      <c r="AD82" s="256">
        <v>498.83353305117663</v>
      </c>
      <c r="AE82" s="256">
        <v>519.78454143932606</v>
      </c>
      <c r="AG82" s="50" t="s">
        <v>405</v>
      </c>
      <c r="AI82" s="41" t="s">
        <v>250</v>
      </c>
      <c r="AJ82" s="63">
        <v>0</v>
      </c>
      <c r="AK82" s="63">
        <v>0</v>
      </c>
      <c r="AL82" s="63">
        <v>0</v>
      </c>
      <c r="AM82" s="63">
        <v>0</v>
      </c>
      <c r="AN82" s="63">
        <v>0</v>
      </c>
      <c r="AO82" s="63">
        <v>0</v>
      </c>
      <c r="AP82" s="63">
        <v>0</v>
      </c>
      <c r="AQ82" s="63">
        <v>0</v>
      </c>
      <c r="AR82" s="63">
        <v>0</v>
      </c>
      <c r="AS82" s="63">
        <v>0</v>
      </c>
      <c r="AT82" s="63">
        <v>0</v>
      </c>
    </row>
    <row r="83" spans="1:46" x14ac:dyDescent="0.2">
      <c r="A83" s="149" t="s">
        <v>360</v>
      </c>
      <c r="B83" s="115">
        <v>125.89928057553956</v>
      </c>
      <c r="C83" s="267">
        <v>126</v>
      </c>
      <c r="T83" s="314" t="s">
        <v>287</v>
      </c>
      <c r="U83" s="256">
        <v>488.69091136564765</v>
      </c>
      <c r="V83" s="256">
        <v>498.46472959296074</v>
      </c>
      <c r="W83" s="256">
        <v>508.43402418482003</v>
      </c>
      <c r="X83" s="256">
        <v>518.60270466851648</v>
      </c>
      <c r="Y83" s="256">
        <v>528.97475876188673</v>
      </c>
      <c r="Z83" s="256">
        <v>539.5542539371246</v>
      </c>
      <c r="AA83" s="256">
        <v>550.34533901586701</v>
      </c>
      <c r="AB83" s="256">
        <v>561.35224579618443</v>
      </c>
      <c r="AC83" s="256">
        <v>572.5792907121081</v>
      </c>
      <c r="AD83" s="256">
        <v>584.03087652635031</v>
      </c>
      <c r="AE83" s="256">
        <v>595.7114940568772</v>
      </c>
      <c r="AG83" s="50" t="s">
        <v>405</v>
      </c>
      <c r="AI83" s="41" t="s">
        <v>251</v>
      </c>
      <c r="AJ83" s="63">
        <v>0</v>
      </c>
      <c r="AK83" s="63">
        <v>0</v>
      </c>
      <c r="AL83" s="63">
        <v>0</v>
      </c>
      <c r="AM83" s="63">
        <v>0</v>
      </c>
      <c r="AN83" s="63">
        <v>0</v>
      </c>
      <c r="AO83" s="63">
        <v>0</v>
      </c>
      <c r="AP83" s="63">
        <v>0</v>
      </c>
      <c r="AQ83" s="63">
        <v>0</v>
      </c>
      <c r="AR83" s="63">
        <v>0</v>
      </c>
      <c r="AS83" s="63">
        <v>0</v>
      </c>
      <c r="AT83" s="63">
        <v>0</v>
      </c>
    </row>
    <row r="84" spans="1:46" ht="15" x14ac:dyDescent="0.25">
      <c r="A84" s="467" t="s">
        <v>316</v>
      </c>
      <c r="B84" s="468"/>
      <c r="C84" s="283">
        <v>7.4</v>
      </c>
      <c r="T84" s="221" t="s">
        <v>55</v>
      </c>
      <c r="U84" s="227">
        <v>1080.8145020563668</v>
      </c>
      <c r="V84" s="227">
        <v>1117.9340885249278</v>
      </c>
      <c r="W84" s="227">
        <v>1156.5264556506436</v>
      </c>
      <c r="X84" s="227">
        <v>1196.6558564064715</v>
      </c>
      <c r="Y84" s="227">
        <v>1238.3895046072323</v>
      </c>
      <c r="Z84" s="227">
        <v>1281.7977156525599</v>
      </c>
      <c r="AA84" s="227">
        <v>1326.954054088254</v>
      </c>
      <c r="AB84" s="227">
        <v>1373.9354883206902</v>
      </c>
      <c r="AC84" s="227">
        <v>1422.8225528355138</v>
      </c>
      <c r="AD84" s="227">
        <v>1473.699518289279</v>
      </c>
      <c r="AE84" s="227">
        <v>1526.6545698609664</v>
      </c>
      <c r="AG84" s="50" t="s">
        <v>405</v>
      </c>
      <c r="AI84" s="122" t="s">
        <v>259</v>
      </c>
      <c r="AJ84" s="36"/>
      <c r="AK84" s="36"/>
      <c r="AL84" s="36"/>
      <c r="AM84" s="36"/>
      <c r="AN84" s="36"/>
      <c r="AO84" s="36"/>
      <c r="AP84" s="36"/>
      <c r="AQ84" s="36"/>
      <c r="AR84" s="36"/>
      <c r="AS84" s="36"/>
      <c r="AT84" s="36"/>
    </row>
    <row r="85" spans="1:46" ht="15" x14ac:dyDescent="0.25">
      <c r="T85" s="213" t="s">
        <v>288</v>
      </c>
      <c r="U85" s="259">
        <v>2020</v>
      </c>
      <c r="V85" s="259">
        <v>2021</v>
      </c>
      <c r="W85" s="259">
        <v>2022</v>
      </c>
      <c r="X85" s="259">
        <v>2023</v>
      </c>
      <c r="Y85" s="259">
        <v>2024</v>
      </c>
      <c r="Z85" s="259">
        <v>2025</v>
      </c>
      <c r="AA85" s="259">
        <v>2026</v>
      </c>
      <c r="AB85" s="259">
        <v>2027</v>
      </c>
      <c r="AC85" s="259">
        <v>2028</v>
      </c>
      <c r="AD85" s="259">
        <v>2029</v>
      </c>
      <c r="AE85" s="259">
        <v>2030</v>
      </c>
      <c r="AG85" s="50" t="s">
        <v>405</v>
      </c>
      <c r="AI85" s="41" t="s">
        <v>249</v>
      </c>
      <c r="AJ85" s="63">
        <v>0</v>
      </c>
      <c r="AK85" s="63">
        <v>0</v>
      </c>
      <c r="AL85" s="63">
        <v>0</v>
      </c>
      <c r="AM85" s="63">
        <v>0</v>
      </c>
      <c r="AN85" s="63">
        <v>0</v>
      </c>
      <c r="AO85" s="63">
        <v>0</v>
      </c>
      <c r="AP85" s="63">
        <v>0</v>
      </c>
      <c r="AQ85" s="63">
        <v>0</v>
      </c>
      <c r="AR85" s="63">
        <v>0</v>
      </c>
      <c r="AS85" s="63">
        <v>0</v>
      </c>
      <c r="AT85" s="63">
        <v>0</v>
      </c>
    </row>
    <row r="86" spans="1:46" x14ac:dyDescent="0.2">
      <c r="T86" s="173" t="s">
        <v>249</v>
      </c>
      <c r="U86" s="209">
        <v>0</v>
      </c>
      <c r="V86" s="209">
        <v>0</v>
      </c>
      <c r="W86" s="209">
        <v>0</v>
      </c>
      <c r="X86" s="209">
        <v>0</v>
      </c>
      <c r="Y86" s="209">
        <v>0</v>
      </c>
      <c r="Z86" s="209">
        <v>0</v>
      </c>
      <c r="AA86" s="209">
        <v>0</v>
      </c>
      <c r="AB86" s="209">
        <v>0</v>
      </c>
      <c r="AC86" s="209">
        <v>0</v>
      </c>
      <c r="AD86" s="209">
        <v>0</v>
      </c>
      <c r="AE86" s="209">
        <v>0</v>
      </c>
      <c r="AG86" s="50" t="s">
        <v>405</v>
      </c>
      <c r="AI86" s="41" t="s">
        <v>250</v>
      </c>
      <c r="AJ86" s="63">
        <v>0</v>
      </c>
      <c r="AK86" s="63">
        <v>0</v>
      </c>
      <c r="AL86" s="63">
        <v>0</v>
      </c>
      <c r="AM86" s="63">
        <v>0</v>
      </c>
      <c r="AN86" s="63">
        <v>0</v>
      </c>
      <c r="AO86" s="63">
        <v>0</v>
      </c>
      <c r="AP86" s="63">
        <v>0</v>
      </c>
      <c r="AQ86" s="63">
        <v>0</v>
      </c>
      <c r="AR86" s="63">
        <v>0</v>
      </c>
      <c r="AS86" s="63">
        <v>0</v>
      </c>
      <c r="AT86" s="63">
        <v>0</v>
      </c>
    </row>
    <row r="87" spans="1:46" x14ac:dyDescent="0.2">
      <c r="T87" s="173" t="s">
        <v>250</v>
      </c>
      <c r="U87" s="209">
        <v>0</v>
      </c>
      <c r="V87" s="209">
        <v>0</v>
      </c>
      <c r="W87" s="209">
        <v>0</v>
      </c>
      <c r="X87" s="209">
        <v>0</v>
      </c>
      <c r="Y87" s="209">
        <v>0</v>
      </c>
      <c r="Z87" s="209">
        <v>0</v>
      </c>
      <c r="AA87" s="209">
        <v>0</v>
      </c>
      <c r="AB87" s="209">
        <v>0</v>
      </c>
      <c r="AC87" s="209">
        <v>0</v>
      </c>
      <c r="AD87" s="209">
        <v>0</v>
      </c>
      <c r="AE87" s="209">
        <v>0</v>
      </c>
      <c r="AG87" s="50" t="s">
        <v>405</v>
      </c>
      <c r="AI87" s="41" t="s">
        <v>251</v>
      </c>
      <c r="AJ87" s="63">
        <v>0</v>
      </c>
      <c r="AK87" s="63">
        <v>0</v>
      </c>
      <c r="AL87" s="63">
        <v>0</v>
      </c>
      <c r="AM87" s="63">
        <v>0</v>
      </c>
      <c r="AN87" s="63">
        <v>0</v>
      </c>
      <c r="AO87" s="63">
        <v>0</v>
      </c>
      <c r="AP87" s="63">
        <v>0</v>
      </c>
      <c r="AQ87" s="63">
        <v>0</v>
      </c>
      <c r="AR87" s="63">
        <v>0</v>
      </c>
      <c r="AS87" s="63">
        <v>0</v>
      </c>
      <c r="AT87" s="63">
        <v>0</v>
      </c>
    </row>
    <row r="88" spans="1:46" ht="15" x14ac:dyDescent="0.25">
      <c r="T88" s="173" t="s">
        <v>251</v>
      </c>
      <c r="U88" s="209">
        <v>0</v>
      </c>
      <c r="V88" s="209">
        <v>0</v>
      </c>
      <c r="W88" s="209">
        <v>0</v>
      </c>
      <c r="X88" s="209">
        <v>0</v>
      </c>
      <c r="Y88" s="209">
        <v>0</v>
      </c>
      <c r="Z88" s="209">
        <v>0</v>
      </c>
      <c r="AA88" s="209">
        <v>0</v>
      </c>
      <c r="AB88" s="209">
        <v>0</v>
      </c>
      <c r="AC88" s="209">
        <v>0</v>
      </c>
      <c r="AD88" s="209">
        <v>0</v>
      </c>
      <c r="AE88" s="209">
        <v>0</v>
      </c>
      <c r="AG88" s="50" t="s">
        <v>405</v>
      </c>
      <c r="AI88" s="122" t="s">
        <v>256</v>
      </c>
    </row>
    <row r="89" spans="1:46" x14ac:dyDescent="0.2">
      <c r="T89" s="208" t="s">
        <v>55</v>
      </c>
      <c r="U89" s="344">
        <v>0</v>
      </c>
      <c r="V89" s="344">
        <v>0</v>
      </c>
      <c r="W89" s="344">
        <v>0</v>
      </c>
      <c r="X89" s="344">
        <v>0</v>
      </c>
      <c r="Y89" s="344">
        <v>0</v>
      </c>
      <c r="Z89" s="344">
        <v>0</v>
      </c>
      <c r="AA89" s="344">
        <v>0</v>
      </c>
      <c r="AB89" s="344">
        <v>0</v>
      </c>
      <c r="AC89" s="344">
        <v>0</v>
      </c>
      <c r="AD89" s="344">
        <v>0</v>
      </c>
      <c r="AE89" s="344">
        <v>0</v>
      </c>
      <c r="AG89" s="50" t="s">
        <v>405</v>
      </c>
      <c r="AI89" s="41" t="s">
        <v>249</v>
      </c>
      <c r="AJ89" s="98">
        <v>0</v>
      </c>
      <c r="AK89" s="98">
        <v>0</v>
      </c>
      <c r="AL89" s="98">
        <v>0</v>
      </c>
      <c r="AM89" s="98">
        <v>0</v>
      </c>
      <c r="AN89" s="98">
        <v>0</v>
      </c>
      <c r="AO89" s="98">
        <v>0</v>
      </c>
      <c r="AP89" s="98">
        <v>0</v>
      </c>
      <c r="AQ89" s="98">
        <v>0</v>
      </c>
      <c r="AR89" s="98">
        <v>0</v>
      </c>
      <c r="AS89" s="98">
        <v>0</v>
      </c>
      <c r="AT89" s="98">
        <v>0</v>
      </c>
    </row>
    <row r="90" spans="1:46" ht="15" x14ac:dyDescent="0.25">
      <c r="T90" s="214" t="s">
        <v>289</v>
      </c>
      <c r="U90" s="263">
        <v>2020</v>
      </c>
      <c r="V90" s="263">
        <v>2021</v>
      </c>
      <c r="W90" s="263">
        <v>2022</v>
      </c>
      <c r="X90" s="263">
        <v>2023</v>
      </c>
      <c r="Y90" s="263">
        <v>2024</v>
      </c>
      <c r="Z90" s="263">
        <v>2025</v>
      </c>
      <c r="AA90" s="263">
        <v>2026</v>
      </c>
      <c r="AB90" s="263">
        <v>2027</v>
      </c>
      <c r="AC90" s="263">
        <v>2028</v>
      </c>
      <c r="AD90" s="263">
        <v>2029</v>
      </c>
      <c r="AE90" s="263">
        <v>2030</v>
      </c>
      <c r="AG90" s="50" t="s">
        <v>405</v>
      </c>
      <c r="AI90" s="41" t="s">
        <v>250</v>
      </c>
      <c r="AJ90" s="98">
        <v>0</v>
      </c>
      <c r="AK90" s="98">
        <v>0</v>
      </c>
      <c r="AL90" s="98">
        <v>0</v>
      </c>
      <c r="AM90" s="98">
        <v>0</v>
      </c>
      <c r="AN90" s="98">
        <v>0</v>
      </c>
      <c r="AO90" s="98">
        <v>0</v>
      </c>
      <c r="AP90" s="98">
        <v>0</v>
      </c>
      <c r="AQ90" s="98">
        <v>0</v>
      </c>
      <c r="AR90" s="98">
        <v>0</v>
      </c>
      <c r="AS90" s="98">
        <v>0</v>
      </c>
      <c r="AT90" s="98">
        <v>0</v>
      </c>
    </row>
    <row r="91" spans="1:46" x14ac:dyDescent="0.2">
      <c r="T91" s="314" t="s">
        <v>249</v>
      </c>
      <c r="U91" s="216">
        <v>7284.0512712868122</v>
      </c>
      <c r="V91" s="216">
        <v>7662.8219373937272</v>
      </c>
      <c r="W91" s="216">
        <v>8061.2886781382031</v>
      </c>
      <c r="X91" s="216">
        <v>8480.4756894013881</v>
      </c>
      <c r="Y91" s="216">
        <v>8921.4604252502595</v>
      </c>
      <c r="Z91" s="216">
        <v>9385.3763673632729</v>
      </c>
      <c r="AA91" s="216">
        <v>9873.4159384661634</v>
      </c>
      <c r="AB91" s="216">
        <v>10386.833567266405</v>
      </c>
      <c r="AC91" s="216">
        <v>10926.948912764259</v>
      </c>
      <c r="AD91" s="216">
        <v>11495.150256228002</v>
      </c>
      <c r="AE91" s="216">
        <v>12092.898069551855</v>
      </c>
      <c r="AG91" s="50" t="s">
        <v>405</v>
      </c>
      <c r="AI91" s="41" t="s">
        <v>251</v>
      </c>
      <c r="AJ91" s="98">
        <v>0</v>
      </c>
      <c r="AK91" s="98">
        <v>0</v>
      </c>
      <c r="AL91" s="98">
        <v>0</v>
      </c>
      <c r="AM91" s="98">
        <v>0</v>
      </c>
      <c r="AN91" s="98">
        <v>0</v>
      </c>
      <c r="AO91" s="98">
        <v>0</v>
      </c>
      <c r="AP91" s="98">
        <v>0</v>
      </c>
      <c r="AQ91" s="98">
        <v>0</v>
      </c>
      <c r="AR91" s="98">
        <v>0</v>
      </c>
      <c r="AS91" s="98">
        <v>0</v>
      </c>
      <c r="AT91" s="98">
        <v>0</v>
      </c>
    </row>
    <row r="92" spans="1:46" ht="15" x14ac:dyDescent="0.25">
      <c r="T92" s="314" t="s">
        <v>250</v>
      </c>
      <c r="U92" s="216">
        <v>8947.1648692718863</v>
      </c>
      <c r="V92" s="216">
        <v>9322.9457937813077</v>
      </c>
      <c r="W92" s="216">
        <v>9714.509517120121</v>
      </c>
      <c r="X92" s="216">
        <v>10122.518916839164</v>
      </c>
      <c r="Y92" s="216">
        <v>10547.66471134641</v>
      </c>
      <c r="Z92" s="216">
        <v>10990.666629222958</v>
      </c>
      <c r="AA92" s="216">
        <v>11452.274627650324</v>
      </c>
      <c r="AB92" s="216">
        <v>11933.27016201164</v>
      </c>
      <c r="AC92" s="216">
        <v>12434.467508816131</v>
      </c>
      <c r="AD92" s="216">
        <v>12956.715144186408</v>
      </c>
      <c r="AE92" s="216">
        <v>13500.897180242237</v>
      </c>
      <c r="AG92" s="50" t="s">
        <v>405</v>
      </c>
      <c r="AI92" s="125" t="s">
        <v>339</v>
      </c>
    </row>
    <row r="93" spans="1:46" x14ac:dyDescent="0.2">
      <c r="T93" s="314" t="s">
        <v>251</v>
      </c>
      <c r="U93" s="216">
        <v>12693.270425081759</v>
      </c>
      <c r="V93" s="216">
        <v>12947.135833583397</v>
      </c>
      <c r="W93" s="216">
        <v>13206.078550255068</v>
      </c>
      <c r="X93" s="216">
        <v>13470.20012126017</v>
      </c>
      <c r="Y93" s="216">
        <v>13739.604123685371</v>
      </c>
      <c r="Z93" s="216">
        <v>14014.396206159083</v>
      </c>
      <c r="AA93" s="216">
        <v>14294.684130282261</v>
      </c>
      <c r="AB93" s="216">
        <v>14580.57781288791</v>
      </c>
      <c r="AC93" s="216">
        <v>14872.189369145666</v>
      </c>
      <c r="AD93" s="216">
        <v>15169.633156528582</v>
      </c>
      <c r="AE93" s="216">
        <v>15473.025819659149</v>
      </c>
      <c r="AG93" s="50" t="s">
        <v>405</v>
      </c>
      <c r="AI93" s="41" t="s">
        <v>249</v>
      </c>
      <c r="AJ93" s="170">
        <v>2500</v>
      </c>
      <c r="AK93" s="63">
        <v>2250</v>
      </c>
      <c r="AL93" s="63">
        <v>2025</v>
      </c>
      <c r="AM93" s="63">
        <v>1822.5</v>
      </c>
      <c r="AN93" s="63">
        <v>1640.25</v>
      </c>
      <c r="AO93" s="63">
        <v>1476.2250000000001</v>
      </c>
      <c r="AP93" s="63">
        <v>1328.6025000000002</v>
      </c>
      <c r="AQ93" s="63">
        <v>1195.7422500000002</v>
      </c>
      <c r="AR93" s="63">
        <v>1076.1680250000002</v>
      </c>
      <c r="AS93" s="63">
        <v>968.55122250000022</v>
      </c>
      <c r="AT93" s="63">
        <v>871.6961002500002</v>
      </c>
    </row>
    <row r="94" spans="1:46" x14ac:dyDescent="0.2">
      <c r="T94" s="221" t="s">
        <v>55</v>
      </c>
      <c r="U94" s="345">
        <v>28924.486565640458</v>
      </c>
      <c r="V94" s="345">
        <v>29932.903564758431</v>
      </c>
      <c r="W94" s="345">
        <v>30981.876745513393</v>
      </c>
      <c r="X94" s="345">
        <v>32073.194727500719</v>
      </c>
      <c r="Y94" s="345">
        <v>33208.729260282038</v>
      </c>
      <c r="Z94" s="345">
        <v>34390.439202745314</v>
      </c>
      <c r="AA94" s="345">
        <v>35620.374696398751</v>
      </c>
      <c r="AB94" s="345">
        <v>36900.681542165956</v>
      </c>
      <c r="AC94" s="345">
        <v>38233.605790726055</v>
      </c>
      <c r="AD94" s="345">
        <v>39621.498556942992</v>
      </c>
      <c r="AE94" s="345">
        <v>41066.821069453246</v>
      </c>
      <c r="AG94" s="50" t="s">
        <v>405</v>
      </c>
      <c r="AI94" s="41" t="s">
        <v>250</v>
      </c>
      <c r="AJ94" s="170">
        <v>20000</v>
      </c>
      <c r="AK94" s="63">
        <v>19200</v>
      </c>
      <c r="AL94" s="63">
        <v>18432</v>
      </c>
      <c r="AM94" s="63">
        <v>17694.72</v>
      </c>
      <c r="AN94" s="63">
        <v>16986.931199999999</v>
      </c>
      <c r="AO94" s="63">
        <v>16307.453951999998</v>
      </c>
      <c r="AP94" s="63">
        <v>15655.155793919997</v>
      </c>
      <c r="AQ94" s="63">
        <v>15028.949562163198</v>
      </c>
      <c r="AR94" s="63">
        <v>14427.79157967667</v>
      </c>
      <c r="AS94" s="63">
        <v>13850.679916489602</v>
      </c>
      <c r="AT94" s="63">
        <v>13296.652719830017</v>
      </c>
    </row>
    <row r="95" spans="1:46" ht="15" x14ac:dyDescent="0.25">
      <c r="T95" s="217" t="s">
        <v>291</v>
      </c>
      <c r="U95" s="262">
        <v>2020</v>
      </c>
      <c r="V95" s="262">
        <v>2021</v>
      </c>
      <c r="W95" s="262">
        <v>2022</v>
      </c>
      <c r="X95" s="262">
        <v>2023</v>
      </c>
      <c r="Y95" s="262">
        <v>2024</v>
      </c>
      <c r="Z95" s="262">
        <v>2025</v>
      </c>
      <c r="AA95" s="262">
        <v>2026</v>
      </c>
      <c r="AB95" s="262">
        <v>2027</v>
      </c>
      <c r="AC95" s="262">
        <v>2028</v>
      </c>
      <c r="AD95" s="262">
        <v>2029</v>
      </c>
      <c r="AE95" s="262">
        <v>2030</v>
      </c>
      <c r="AG95" s="50" t="s">
        <v>405</v>
      </c>
      <c r="AI95" s="41" t="s">
        <v>251</v>
      </c>
      <c r="AJ95" s="170">
        <v>65000</v>
      </c>
      <c r="AK95" s="63">
        <v>62400</v>
      </c>
      <c r="AL95" s="63">
        <v>59904</v>
      </c>
      <c r="AM95" s="63">
        <v>57507.839999999997</v>
      </c>
      <c r="AN95" s="63">
        <v>55207.526399999995</v>
      </c>
      <c r="AO95" s="63">
        <v>52999.225343999991</v>
      </c>
      <c r="AP95" s="63">
        <v>50879.256330239987</v>
      </c>
      <c r="AQ95" s="63">
        <v>48844.086077030384</v>
      </c>
      <c r="AR95" s="63">
        <v>46890.322633949167</v>
      </c>
      <c r="AS95" s="63">
        <v>45014.709728591195</v>
      </c>
      <c r="AT95" s="63">
        <v>43214.121339447549</v>
      </c>
    </row>
    <row r="96" spans="1:46" ht="15" x14ac:dyDescent="0.25">
      <c r="T96" s="135" t="s">
        <v>249</v>
      </c>
      <c r="U96" s="137">
        <v>16.753317923959667</v>
      </c>
      <c r="V96" s="137">
        <v>17.624490456005574</v>
      </c>
      <c r="W96" s="137">
        <v>18.540963959717864</v>
      </c>
      <c r="X96" s="137">
        <v>19.505094085623195</v>
      </c>
      <c r="Y96" s="137">
        <v>20.519358978075598</v>
      </c>
      <c r="Z96" s="137">
        <v>21.586365644935526</v>
      </c>
      <c r="AA96" s="137">
        <v>22.708856658472175</v>
      </c>
      <c r="AB96" s="137">
        <v>23.889717204712728</v>
      </c>
      <c r="AC96" s="137">
        <v>25.131982499357793</v>
      </c>
      <c r="AD96" s="137">
        <v>26.438845589324401</v>
      </c>
      <c r="AE96" s="137">
        <v>27.813665559969266</v>
      </c>
      <c r="AF96" s="137">
        <v>240.5126585601538</v>
      </c>
      <c r="AG96" s="50" t="s">
        <v>405</v>
      </c>
      <c r="AI96" s="125" t="s">
        <v>260</v>
      </c>
    </row>
    <row r="97" spans="20:48" x14ac:dyDescent="0.2">
      <c r="T97" s="135" t="s">
        <v>250</v>
      </c>
      <c r="U97" s="137">
        <v>23.978401849648645</v>
      </c>
      <c r="V97" s="137">
        <v>24.985494727333897</v>
      </c>
      <c r="W97" s="137">
        <v>26.034885505881917</v>
      </c>
      <c r="X97" s="137">
        <v>27.128350697128955</v>
      </c>
      <c r="Y97" s="137">
        <v>28.267741426408371</v>
      </c>
      <c r="Z97" s="137">
        <v>29.454986566317523</v>
      </c>
      <c r="AA97" s="137">
        <v>30.692096002102861</v>
      </c>
      <c r="AB97" s="137">
        <v>31.981164034191188</v>
      </c>
      <c r="AC97" s="137">
        <v>33.324372923627223</v>
      </c>
      <c r="AD97" s="137">
        <v>34.72399658641956</v>
      </c>
      <c r="AE97" s="137">
        <v>36.182404443049187</v>
      </c>
      <c r="AF97" s="137">
        <v>326.75389476210933</v>
      </c>
      <c r="AG97" s="50" t="s">
        <v>405</v>
      </c>
      <c r="AI97" s="49" t="s">
        <v>249</v>
      </c>
      <c r="AJ97" s="129">
        <v>0.1</v>
      </c>
    </row>
    <row r="98" spans="20:48" x14ac:dyDescent="0.2">
      <c r="T98" s="135" t="s">
        <v>251</v>
      </c>
      <c r="U98" s="137">
        <v>34.017964739219103</v>
      </c>
      <c r="V98" s="137">
        <v>34.698324034003498</v>
      </c>
      <c r="W98" s="137">
        <v>35.392290514683566</v>
      </c>
      <c r="X98" s="137">
        <v>36.10013632497725</v>
      </c>
      <c r="Y98" s="137">
        <v>36.822139051476782</v>
      </c>
      <c r="Z98" s="137">
        <v>37.558581832506327</v>
      </c>
      <c r="AA98" s="137">
        <v>38.309753469156448</v>
      </c>
      <c r="AB98" s="137">
        <v>39.075948538539592</v>
      </c>
      <c r="AC98" s="137">
        <v>39.857467509310382</v>
      </c>
      <c r="AD98" s="137">
        <v>40.654616859496585</v>
      </c>
      <c r="AE98" s="137">
        <v>41.467709196686513</v>
      </c>
      <c r="AF98" s="137">
        <v>413.95493207005597</v>
      </c>
      <c r="AG98" s="50" t="s">
        <v>405</v>
      </c>
      <c r="AI98" s="49" t="s">
        <v>250</v>
      </c>
      <c r="AJ98" s="129">
        <v>0.04</v>
      </c>
    </row>
    <row r="99" spans="20:48" x14ac:dyDescent="0.2">
      <c r="T99" s="233" t="s">
        <v>55</v>
      </c>
      <c r="U99" s="346">
        <v>74.749684512827415</v>
      </c>
      <c r="V99" s="346">
        <v>77.30830921734298</v>
      </c>
      <c r="W99" s="346">
        <v>79.968139980283354</v>
      </c>
      <c r="X99" s="346">
        <v>82.733581107729407</v>
      </c>
      <c r="Y99" s="346">
        <v>85.609239455960747</v>
      </c>
      <c r="Z99" s="346">
        <v>88.599934043759376</v>
      </c>
      <c r="AA99" s="346">
        <v>91.710706129731477</v>
      </c>
      <c r="AB99" s="346">
        <v>94.946829777443511</v>
      </c>
      <c r="AC99" s="346">
        <v>98.313822932295395</v>
      </c>
      <c r="AD99" s="346">
        <v>101.81745903524055</v>
      </c>
      <c r="AE99" s="346">
        <v>105.46377919970496</v>
      </c>
      <c r="AF99" s="137">
        <v>981.22148539231921</v>
      </c>
      <c r="AG99" s="50" t="s">
        <v>405</v>
      </c>
      <c r="AI99" s="49" t="s">
        <v>251</v>
      </c>
      <c r="AJ99" s="129">
        <v>0.04</v>
      </c>
    </row>
    <row r="100" spans="20:48" ht="15" x14ac:dyDescent="0.25">
      <c r="T100" s="218" t="s">
        <v>292</v>
      </c>
      <c r="U100" s="264">
        <v>2020</v>
      </c>
      <c r="V100" s="264">
        <v>2021</v>
      </c>
      <c r="W100" s="264">
        <v>2022</v>
      </c>
      <c r="X100" s="264">
        <v>2023</v>
      </c>
      <c r="Y100" s="264">
        <v>2024</v>
      </c>
      <c r="Z100" s="264">
        <v>2025</v>
      </c>
      <c r="AA100" s="264">
        <v>2026</v>
      </c>
      <c r="AB100" s="264">
        <v>2027</v>
      </c>
      <c r="AC100" s="264">
        <v>2028</v>
      </c>
      <c r="AD100" s="264">
        <v>2029</v>
      </c>
      <c r="AE100" s="264">
        <v>2030</v>
      </c>
      <c r="AG100" s="50" t="s">
        <v>405</v>
      </c>
    </row>
    <row r="101" spans="20:48" ht="15" x14ac:dyDescent="0.25">
      <c r="T101" s="73" t="s">
        <v>249</v>
      </c>
      <c r="U101" s="219">
        <v>0</v>
      </c>
      <c r="V101" s="219">
        <v>0</v>
      </c>
      <c r="W101" s="219">
        <v>0</v>
      </c>
      <c r="X101" s="219">
        <v>0</v>
      </c>
      <c r="Y101" s="219">
        <v>0</v>
      </c>
      <c r="Z101" s="219">
        <v>0</v>
      </c>
      <c r="AA101" s="219">
        <v>0</v>
      </c>
      <c r="AB101" s="219">
        <v>0</v>
      </c>
      <c r="AC101" s="219">
        <v>0</v>
      </c>
      <c r="AD101" s="219">
        <v>0</v>
      </c>
      <c r="AE101" s="219">
        <v>0</v>
      </c>
      <c r="AF101" s="309">
        <v>0</v>
      </c>
      <c r="AG101" s="50" t="s">
        <v>405</v>
      </c>
      <c r="AI101" s="125" t="s">
        <v>261</v>
      </c>
    </row>
    <row r="102" spans="20:48" x14ac:dyDescent="0.2">
      <c r="T102" s="73" t="s">
        <v>250</v>
      </c>
      <c r="U102" s="219">
        <v>0</v>
      </c>
      <c r="V102" s="219">
        <v>0</v>
      </c>
      <c r="W102" s="219">
        <v>0</v>
      </c>
      <c r="X102" s="219">
        <v>0</v>
      </c>
      <c r="Y102" s="219">
        <v>0</v>
      </c>
      <c r="Z102" s="219">
        <v>0</v>
      </c>
      <c r="AA102" s="219">
        <v>0</v>
      </c>
      <c r="AB102" s="219">
        <v>0</v>
      </c>
      <c r="AC102" s="219">
        <v>0</v>
      </c>
      <c r="AD102" s="219">
        <v>0</v>
      </c>
      <c r="AE102" s="219">
        <v>0</v>
      </c>
      <c r="AF102" s="309">
        <v>0</v>
      </c>
      <c r="AG102" s="50" t="s">
        <v>405</v>
      </c>
      <c r="AI102" s="49" t="s">
        <v>249</v>
      </c>
      <c r="AJ102" s="106">
        <v>0</v>
      </c>
      <c r="AK102" s="106">
        <v>0</v>
      </c>
      <c r="AL102" s="106">
        <v>0</v>
      </c>
      <c r="AM102" s="106">
        <v>0</v>
      </c>
      <c r="AN102" s="106">
        <v>0</v>
      </c>
      <c r="AO102" s="106">
        <v>0</v>
      </c>
      <c r="AP102" s="106">
        <v>0</v>
      </c>
      <c r="AQ102" s="106">
        <v>0</v>
      </c>
      <c r="AR102" s="106">
        <v>0</v>
      </c>
      <c r="AS102" s="106">
        <v>0</v>
      </c>
      <c r="AT102" s="106">
        <v>0</v>
      </c>
      <c r="AV102" s="172">
        <v>0</v>
      </c>
    </row>
    <row r="103" spans="20:48" x14ac:dyDescent="0.2">
      <c r="T103" s="73" t="s">
        <v>251</v>
      </c>
      <c r="U103" s="219">
        <v>0</v>
      </c>
      <c r="V103" s="219">
        <v>0</v>
      </c>
      <c r="W103" s="219">
        <v>0</v>
      </c>
      <c r="X103" s="219">
        <v>0</v>
      </c>
      <c r="Y103" s="219">
        <v>0</v>
      </c>
      <c r="Z103" s="219">
        <v>0</v>
      </c>
      <c r="AA103" s="219">
        <v>0</v>
      </c>
      <c r="AB103" s="219">
        <v>0</v>
      </c>
      <c r="AC103" s="219">
        <v>0</v>
      </c>
      <c r="AD103" s="219">
        <v>0</v>
      </c>
      <c r="AE103" s="219">
        <v>0</v>
      </c>
      <c r="AF103" s="309">
        <v>0</v>
      </c>
      <c r="AG103" s="50" t="s">
        <v>405</v>
      </c>
      <c r="AI103" s="49" t="s">
        <v>250</v>
      </c>
      <c r="AJ103" s="106">
        <v>0</v>
      </c>
      <c r="AK103" s="106">
        <v>0</v>
      </c>
      <c r="AL103" s="106">
        <v>0</v>
      </c>
      <c r="AM103" s="106">
        <v>0</v>
      </c>
      <c r="AN103" s="106">
        <v>0</v>
      </c>
      <c r="AO103" s="106">
        <v>0</v>
      </c>
      <c r="AP103" s="106">
        <v>0</v>
      </c>
      <c r="AQ103" s="106">
        <v>0</v>
      </c>
      <c r="AR103" s="106">
        <v>0</v>
      </c>
      <c r="AS103" s="106">
        <v>0</v>
      </c>
      <c r="AT103" s="106">
        <v>0</v>
      </c>
      <c r="AV103" s="172">
        <v>0</v>
      </c>
    </row>
    <row r="104" spans="20:48" x14ac:dyDescent="0.2">
      <c r="T104" s="73" t="s">
        <v>55</v>
      </c>
      <c r="U104" s="219">
        <v>0</v>
      </c>
      <c r="V104" s="219">
        <v>0</v>
      </c>
      <c r="W104" s="219">
        <v>0</v>
      </c>
      <c r="X104" s="219">
        <v>0</v>
      </c>
      <c r="Y104" s="219">
        <v>0</v>
      </c>
      <c r="Z104" s="219">
        <v>0</v>
      </c>
      <c r="AA104" s="219">
        <v>0</v>
      </c>
      <c r="AB104" s="219">
        <v>0</v>
      </c>
      <c r="AC104" s="219">
        <v>0</v>
      </c>
      <c r="AD104" s="219">
        <v>0</v>
      </c>
      <c r="AE104" s="219">
        <v>0</v>
      </c>
      <c r="AF104" s="309">
        <v>0</v>
      </c>
      <c r="AG104" s="50" t="s">
        <v>405</v>
      </c>
      <c r="AI104" s="49" t="s">
        <v>9</v>
      </c>
      <c r="AJ104" s="106">
        <v>0</v>
      </c>
      <c r="AK104" s="106">
        <v>0</v>
      </c>
      <c r="AL104" s="106">
        <v>0</v>
      </c>
      <c r="AM104" s="106">
        <v>0</v>
      </c>
      <c r="AN104" s="106">
        <v>0</v>
      </c>
      <c r="AO104" s="106">
        <v>0</v>
      </c>
      <c r="AP104" s="106">
        <v>0</v>
      </c>
      <c r="AQ104" s="106">
        <v>0</v>
      </c>
      <c r="AR104" s="106">
        <v>0</v>
      </c>
      <c r="AS104" s="106">
        <v>0</v>
      </c>
      <c r="AT104" s="106">
        <v>0</v>
      </c>
      <c r="AV104" s="172">
        <v>0</v>
      </c>
    </row>
    <row r="105" spans="20:48" x14ac:dyDescent="0.2">
      <c r="T105" s="241" t="s">
        <v>226</v>
      </c>
      <c r="U105" s="369">
        <v>0</v>
      </c>
      <c r="V105" s="369">
        <v>0</v>
      </c>
      <c r="W105" s="369">
        <v>0</v>
      </c>
      <c r="X105" s="369">
        <v>0</v>
      </c>
      <c r="Y105" s="369">
        <v>0</v>
      </c>
      <c r="Z105" s="369">
        <v>0</v>
      </c>
      <c r="AA105" s="369">
        <v>0</v>
      </c>
      <c r="AB105" s="369">
        <v>0</v>
      </c>
      <c r="AC105" s="369">
        <v>0</v>
      </c>
      <c r="AD105" s="369">
        <v>0</v>
      </c>
      <c r="AE105" s="369">
        <v>0</v>
      </c>
      <c r="AF105" s="369">
        <v>0</v>
      </c>
      <c r="AG105" s="50" t="s">
        <v>405</v>
      </c>
      <c r="AI105" s="100" t="s">
        <v>55</v>
      </c>
      <c r="AJ105" s="106">
        <v>0</v>
      </c>
      <c r="AK105" s="106">
        <v>0</v>
      </c>
      <c r="AL105" s="106">
        <v>0</v>
      </c>
      <c r="AM105" s="106">
        <v>0</v>
      </c>
      <c r="AN105" s="106">
        <v>0</v>
      </c>
      <c r="AO105" s="106">
        <v>0</v>
      </c>
      <c r="AP105" s="106">
        <v>0</v>
      </c>
      <c r="AQ105" s="106">
        <v>0</v>
      </c>
      <c r="AR105" s="106">
        <v>0</v>
      </c>
      <c r="AS105" s="106">
        <v>0</v>
      </c>
      <c r="AT105" s="106">
        <v>0</v>
      </c>
      <c r="AV105" s="172">
        <v>0</v>
      </c>
    </row>
    <row r="106" spans="20:48" ht="15.75" x14ac:dyDescent="0.25">
      <c r="T106" s="370" t="s">
        <v>406</v>
      </c>
      <c r="U106" s="371">
        <v>2020</v>
      </c>
      <c r="V106" s="371">
        <v>2021</v>
      </c>
      <c r="W106" s="371">
        <v>2022</v>
      </c>
      <c r="X106" s="371">
        <v>2023</v>
      </c>
      <c r="Y106" s="371">
        <v>2024</v>
      </c>
      <c r="Z106" s="371">
        <v>2025</v>
      </c>
      <c r="AA106" s="371">
        <v>2026</v>
      </c>
      <c r="AB106" s="371">
        <v>2027</v>
      </c>
      <c r="AC106" s="371">
        <v>2028</v>
      </c>
      <c r="AD106" s="371">
        <v>2029</v>
      </c>
      <c r="AE106" s="371">
        <v>2030</v>
      </c>
      <c r="AF106" s="372"/>
      <c r="AG106" s="50" t="s">
        <v>405</v>
      </c>
    </row>
    <row r="107" spans="20:48" ht="15.75" x14ac:dyDescent="0.25">
      <c r="T107" s="371" t="s">
        <v>293</v>
      </c>
      <c r="U107" s="373">
        <v>0</v>
      </c>
      <c r="V107" s="373">
        <v>0</v>
      </c>
      <c r="W107" s="373">
        <v>0</v>
      </c>
      <c r="X107" s="373">
        <v>0</v>
      </c>
      <c r="Y107" s="373">
        <v>0</v>
      </c>
      <c r="Z107" s="373">
        <v>0</v>
      </c>
      <c r="AA107" s="373">
        <v>0</v>
      </c>
      <c r="AB107" s="373">
        <v>0</v>
      </c>
      <c r="AC107" s="373">
        <v>0</v>
      </c>
      <c r="AD107" s="373">
        <v>0</v>
      </c>
      <c r="AE107" s="373">
        <v>0</v>
      </c>
      <c r="AF107" s="374">
        <v>0</v>
      </c>
      <c r="AG107" s="50" t="s">
        <v>405</v>
      </c>
      <c r="AI107" s="12"/>
    </row>
    <row r="108" spans="20:48" ht="15.75" x14ac:dyDescent="0.25">
      <c r="T108" s="371" t="s">
        <v>294</v>
      </c>
      <c r="U108" s="375">
        <v>0</v>
      </c>
      <c r="V108" s="375">
        <v>0</v>
      </c>
      <c r="W108" s="375">
        <v>0</v>
      </c>
      <c r="X108" s="375">
        <v>0</v>
      </c>
      <c r="Y108" s="375">
        <v>0</v>
      </c>
      <c r="Z108" s="375">
        <v>0</v>
      </c>
      <c r="AA108" s="375">
        <v>0</v>
      </c>
      <c r="AB108" s="375">
        <v>0</v>
      </c>
      <c r="AC108" s="375">
        <v>0</v>
      </c>
      <c r="AD108" s="375">
        <v>0</v>
      </c>
      <c r="AE108" s="375">
        <v>0</v>
      </c>
      <c r="AF108" s="374">
        <v>0</v>
      </c>
      <c r="AG108" s="50" t="s">
        <v>405</v>
      </c>
      <c r="AI108" s="12"/>
    </row>
    <row r="109" spans="20:48" ht="15.75" x14ac:dyDescent="0.25">
      <c r="T109" s="371" t="s">
        <v>295</v>
      </c>
      <c r="U109" s="377">
        <v>0</v>
      </c>
      <c r="V109" s="377">
        <v>0</v>
      </c>
      <c r="W109" s="377">
        <v>0</v>
      </c>
      <c r="X109" s="377">
        <v>0</v>
      </c>
      <c r="Y109" s="377">
        <v>0</v>
      </c>
      <c r="Z109" s="377">
        <v>0</v>
      </c>
      <c r="AA109" s="377">
        <v>0</v>
      </c>
      <c r="AB109" s="377">
        <v>0</v>
      </c>
      <c r="AC109" s="377">
        <v>0</v>
      </c>
      <c r="AD109" s="377">
        <v>0</v>
      </c>
      <c r="AE109" s="377">
        <v>0</v>
      </c>
      <c r="AF109" s="374">
        <v>0</v>
      </c>
      <c r="AG109" s="50" t="s">
        <v>405</v>
      </c>
      <c r="AI109" s="12"/>
    </row>
    <row r="110" spans="20:48" ht="15.75" x14ac:dyDescent="0.25">
      <c r="T110" s="371" t="s">
        <v>296</v>
      </c>
      <c r="U110" s="375">
        <v>0</v>
      </c>
      <c r="V110" s="375">
        <v>0</v>
      </c>
      <c r="W110" s="375">
        <v>0</v>
      </c>
      <c r="X110" s="375">
        <v>0</v>
      </c>
      <c r="Y110" s="375">
        <v>0</v>
      </c>
      <c r="Z110" s="375">
        <v>0</v>
      </c>
      <c r="AA110" s="375">
        <v>0</v>
      </c>
      <c r="AB110" s="375">
        <v>0</v>
      </c>
      <c r="AC110" s="375">
        <v>0</v>
      </c>
      <c r="AD110" s="375">
        <v>0</v>
      </c>
      <c r="AE110" s="375">
        <v>0</v>
      </c>
      <c r="AF110" s="374">
        <v>0</v>
      </c>
      <c r="AG110" s="50" t="s">
        <v>405</v>
      </c>
    </row>
    <row r="111" spans="20:48" ht="15.75" x14ac:dyDescent="0.25">
      <c r="T111" s="371" t="s">
        <v>297</v>
      </c>
      <c r="U111" s="376">
        <v>0</v>
      </c>
      <c r="V111" s="376">
        <v>0</v>
      </c>
      <c r="W111" s="376">
        <v>0</v>
      </c>
      <c r="X111" s="376">
        <v>0</v>
      </c>
      <c r="Y111" s="376">
        <v>0</v>
      </c>
      <c r="Z111" s="376">
        <v>0</v>
      </c>
      <c r="AA111" s="376">
        <v>0</v>
      </c>
      <c r="AB111" s="376">
        <v>0</v>
      </c>
      <c r="AC111" s="376">
        <v>0</v>
      </c>
      <c r="AD111" s="376">
        <v>0</v>
      </c>
      <c r="AE111" s="376">
        <v>0</v>
      </c>
      <c r="AF111" s="374">
        <v>0</v>
      </c>
      <c r="AG111" s="50" t="s">
        <v>405</v>
      </c>
    </row>
    <row r="112" spans="20:48" ht="15.75" x14ac:dyDescent="0.25">
      <c r="T112" s="371" t="s">
        <v>300</v>
      </c>
      <c r="U112" s="376">
        <v>0</v>
      </c>
      <c r="V112" s="376">
        <v>0</v>
      </c>
      <c r="W112" s="376">
        <v>0</v>
      </c>
      <c r="X112" s="376">
        <v>0</v>
      </c>
      <c r="Y112" s="376">
        <v>0</v>
      </c>
      <c r="Z112" s="376">
        <v>0</v>
      </c>
      <c r="AA112" s="376">
        <v>0</v>
      </c>
      <c r="AB112" s="376">
        <v>0</v>
      </c>
      <c r="AC112" s="376">
        <v>0</v>
      </c>
      <c r="AD112" s="376">
        <v>0</v>
      </c>
      <c r="AE112" s="376">
        <v>0</v>
      </c>
      <c r="AF112" s="374">
        <v>0</v>
      </c>
      <c r="AG112" s="50" t="s">
        <v>405</v>
      </c>
    </row>
    <row r="113" spans="20:33" x14ac:dyDescent="0.2">
      <c r="T113" s="210" t="s">
        <v>404</v>
      </c>
      <c r="U113" s="225">
        <v>2020</v>
      </c>
      <c r="V113" s="225">
        <v>2021</v>
      </c>
      <c r="W113" s="225">
        <v>2022</v>
      </c>
      <c r="X113" s="225">
        <v>2023</v>
      </c>
      <c r="Y113" s="225">
        <v>2024</v>
      </c>
      <c r="Z113" s="225">
        <v>2025</v>
      </c>
      <c r="AA113" s="225">
        <v>2026</v>
      </c>
      <c r="AB113" s="225">
        <v>2027</v>
      </c>
      <c r="AC113" s="225">
        <v>2028</v>
      </c>
      <c r="AD113" s="225">
        <v>2029</v>
      </c>
      <c r="AE113" s="225">
        <v>2030</v>
      </c>
      <c r="AF113" s="225"/>
      <c r="AG113" s="50" t="s">
        <v>405</v>
      </c>
    </row>
    <row r="114" spans="20:33" x14ac:dyDescent="0.2">
      <c r="T114" s="210" t="s">
        <v>293</v>
      </c>
      <c r="U114" s="225">
        <v>1080.8145020563668</v>
      </c>
      <c r="V114" s="225">
        <v>1117.9340885249278</v>
      </c>
      <c r="W114" s="225">
        <v>1156.5264556506436</v>
      </c>
      <c r="X114" s="225">
        <v>1196.6558564064715</v>
      </c>
      <c r="Y114" s="225">
        <v>1238.3895046072323</v>
      </c>
      <c r="Z114" s="225">
        <v>1281.7977156525599</v>
      </c>
      <c r="AA114" s="225">
        <v>1326.954054088254</v>
      </c>
      <c r="AB114" s="225">
        <v>1373.9354883206902</v>
      </c>
      <c r="AC114" s="225">
        <v>1422.8225528355138</v>
      </c>
      <c r="AD114" s="225">
        <v>1473.699518289279</v>
      </c>
      <c r="AE114" s="225">
        <v>1526.6545698609664</v>
      </c>
      <c r="AF114" s="226">
        <v>14196.184306292906</v>
      </c>
      <c r="AG114" s="50" t="s">
        <v>405</v>
      </c>
    </row>
    <row r="115" spans="20:33" x14ac:dyDescent="0.2">
      <c r="T115" s="210" t="s">
        <v>294</v>
      </c>
      <c r="U115" s="225">
        <v>0</v>
      </c>
      <c r="V115" s="225">
        <v>0</v>
      </c>
      <c r="W115" s="225">
        <v>0</v>
      </c>
      <c r="X115" s="225">
        <v>0</v>
      </c>
      <c r="Y115" s="225">
        <v>0</v>
      </c>
      <c r="Z115" s="225">
        <v>0</v>
      </c>
      <c r="AA115" s="225">
        <v>0</v>
      </c>
      <c r="AB115" s="225">
        <v>0</v>
      </c>
      <c r="AC115" s="225">
        <v>0</v>
      </c>
      <c r="AD115" s="225">
        <v>0</v>
      </c>
      <c r="AE115" s="225">
        <v>0</v>
      </c>
      <c r="AF115" s="226">
        <v>0</v>
      </c>
      <c r="AG115" s="50" t="s">
        <v>405</v>
      </c>
    </row>
    <row r="116" spans="20:33" x14ac:dyDescent="0.2">
      <c r="T116" s="210" t="s">
        <v>295</v>
      </c>
      <c r="U116" s="225">
        <v>28924.486565640458</v>
      </c>
      <c r="V116" s="225">
        <v>29932.903564758431</v>
      </c>
      <c r="W116" s="225">
        <v>30981.876745513393</v>
      </c>
      <c r="X116" s="225">
        <v>32073.194727500719</v>
      </c>
      <c r="Y116" s="225">
        <v>33208.729260282038</v>
      </c>
      <c r="Z116" s="225">
        <v>34390.439202745314</v>
      </c>
      <c r="AA116" s="225">
        <v>35620.374696398751</v>
      </c>
      <c r="AB116" s="225">
        <v>36900.681542165956</v>
      </c>
      <c r="AC116" s="225">
        <v>38233.605790726055</v>
      </c>
      <c r="AD116" s="225">
        <v>39621.498556942992</v>
      </c>
      <c r="AE116" s="225">
        <v>41066.821069453246</v>
      </c>
      <c r="AF116" s="226">
        <v>380954.61172212736</v>
      </c>
      <c r="AG116" s="50" t="s">
        <v>405</v>
      </c>
    </row>
    <row r="117" spans="20:33" x14ac:dyDescent="0.2">
      <c r="T117" s="210" t="s">
        <v>296</v>
      </c>
      <c r="U117" s="225">
        <v>8.9471648692718855</v>
      </c>
      <c r="V117" s="225">
        <v>9.3229457937813081</v>
      </c>
      <c r="W117" s="225">
        <v>9.7145095171201206</v>
      </c>
      <c r="X117" s="225">
        <v>10.122518916839164</v>
      </c>
      <c r="Y117" s="225">
        <v>10.54766471134641</v>
      </c>
      <c r="Z117" s="225">
        <v>10.990666629222959</v>
      </c>
      <c r="AA117" s="225">
        <v>11.452274627650324</v>
      </c>
      <c r="AB117" s="225">
        <v>11.93327016201164</v>
      </c>
      <c r="AC117" s="225">
        <v>12.43446750881613</v>
      </c>
      <c r="AD117" s="225">
        <v>12.956715144186408</v>
      </c>
      <c r="AE117" s="225">
        <v>13.500897180242237</v>
      </c>
      <c r="AF117" s="226">
        <v>121.92309506048858</v>
      </c>
      <c r="AG117" s="50" t="s">
        <v>405</v>
      </c>
    </row>
    <row r="118" spans="20:33" x14ac:dyDescent="0.2">
      <c r="T118" s="210" t="s">
        <v>297</v>
      </c>
      <c r="U118" s="225">
        <v>0</v>
      </c>
      <c r="V118" s="225">
        <v>0</v>
      </c>
      <c r="W118" s="225">
        <v>0</v>
      </c>
      <c r="X118" s="225">
        <v>0</v>
      </c>
      <c r="Y118" s="225">
        <v>0</v>
      </c>
      <c r="Z118" s="225">
        <v>0</v>
      </c>
      <c r="AA118" s="225">
        <v>0</v>
      </c>
      <c r="AB118" s="225">
        <v>0</v>
      </c>
      <c r="AC118" s="225">
        <v>0</v>
      </c>
      <c r="AD118" s="225">
        <v>0</v>
      </c>
      <c r="AE118" s="225">
        <v>0</v>
      </c>
      <c r="AF118" s="226">
        <v>0</v>
      </c>
      <c r="AG118" s="50" t="s">
        <v>405</v>
      </c>
    </row>
    <row r="119" spans="20:33" x14ac:dyDescent="0.2">
      <c r="T119" s="210" t="s">
        <v>300</v>
      </c>
      <c r="U119" s="225">
        <v>0</v>
      </c>
      <c r="V119" s="225">
        <v>0</v>
      </c>
      <c r="W119" s="225">
        <v>0</v>
      </c>
      <c r="X119" s="225">
        <v>0</v>
      </c>
      <c r="Y119" s="225">
        <v>0</v>
      </c>
      <c r="Z119" s="225">
        <v>0</v>
      </c>
      <c r="AA119" s="225">
        <v>0</v>
      </c>
      <c r="AB119" s="225">
        <v>0</v>
      </c>
      <c r="AC119" s="225">
        <v>0</v>
      </c>
      <c r="AD119" s="225">
        <v>0</v>
      </c>
      <c r="AE119" s="225">
        <v>0</v>
      </c>
      <c r="AF119" s="226">
        <v>0</v>
      </c>
      <c r="AG119" s="50" t="s">
        <v>405</v>
      </c>
    </row>
    <row r="120" spans="20:33" ht="15.75" x14ac:dyDescent="0.25">
      <c r="T120" s="326" t="s">
        <v>364</v>
      </c>
      <c r="U120" s="222">
        <v>2020</v>
      </c>
      <c r="V120" s="222">
        <v>2021</v>
      </c>
      <c r="W120" s="222">
        <v>2022</v>
      </c>
      <c r="X120" s="222">
        <v>2023</v>
      </c>
      <c r="Y120" s="222">
        <v>2024</v>
      </c>
      <c r="Z120" s="222">
        <v>2025</v>
      </c>
      <c r="AA120" s="222">
        <v>2026</v>
      </c>
      <c r="AB120" s="222">
        <v>2027</v>
      </c>
      <c r="AC120" s="222">
        <v>2028</v>
      </c>
      <c r="AD120" s="222">
        <v>2029</v>
      </c>
      <c r="AE120" s="222">
        <v>2030</v>
      </c>
      <c r="AF120" s="228"/>
      <c r="AG120" s="12" t="s">
        <v>412</v>
      </c>
    </row>
    <row r="121" spans="20:33" x14ac:dyDescent="0.2">
      <c r="T121" s="221" t="s">
        <v>365</v>
      </c>
      <c r="U121" s="381">
        <v>0</v>
      </c>
      <c r="V121" s="381">
        <v>0</v>
      </c>
      <c r="W121" s="381">
        <v>0</v>
      </c>
      <c r="X121" s="381">
        <v>0</v>
      </c>
      <c r="Y121" s="381">
        <v>0</v>
      </c>
      <c r="Z121" s="381">
        <v>0</v>
      </c>
      <c r="AA121" s="381">
        <v>0</v>
      </c>
      <c r="AB121" s="381">
        <v>0</v>
      </c>
      <c r="AC121" s="381">
        <v>0</v>
      </c>
      <c r="AD121" s="381">
        <v>0</v>
      </c>
      <c r="AE121" s="381">
        <v>0</v>
      </c>
      <c r="AF121" s="380">
        <v>0</v>
      </c>
      <c r="AG121" s="50" t="s">
        <v>412</v>
      </c>
    </row>
    <row r="122" spans="20:33" x14ac:dyDescent="0.2">
      <c r="T122" s="221" t="s">
        <v>381</v>
      </c>
      <c r="U122" s="379"/>
      <c r="V122" s="379">
        <v>0</v>
      </c>
      <c r="W122" s="379">
        <v>0</v>
      </c>
      <c r="X122" s="379">
        <v>0</v>
      </c>
      <c r="Y122" s="379">
        <v>0</v>
      </c>
      <c r="Z122" s="379">
        <v>0</v>
      </c>
      <c r="AA122" s="379">
        <v>0</v>
      </c>
      <c r="AB122" s="379">
        <v>0</v>
      </c>
      <c r="AC122" s="379">
        <v>0</v>
      </c>
      <c r="AD122" s="379">
        <v>0</v>
      </c>
      <c r="AE122" s="379">
        <v>0</v>
      </c>
      <c r="AF122" s="380"/>
      <c r="AG122" s="50" t="s">
        <v>412</v>
      </c>
    </row>
    <row r="123" spans="20:33" x14ac:dyDescent="0.2">
      <c r="T123" s="314" t="s">
        <v>414</v>
      </c>
      <c r="U123" s="135">
        <v>60</v>
      </c>
      <c r="V123" s="382">
        <v>60</v>
      </c>
      <c r="W123" s="382">
        <v>60</v>
      </c>
      <c r="X123" s="382">
        <v>60</v>
      </c>
      <c r="Y123" s="382">
        <v>60</v>
      </c>
      <c r="Z123" s="382">
        <v>60</v>
      </c>
      <c r="AA123" s="382">
        <v>60</v>
      </c>
      <c r="AB123" s="382">
        <v>60</v>
      </c>
      <c r="AC123" s="382">
        <v>60</v>
      </c>
      <c r="AD123" s="382">
        <v>60</v>
      </c>
      <c r="AE123" s="381">
        <v>60</v>
      </c>
      <c r="AF123" s="314"/>
      <c r="AG123" s="12" t="s">
        <v>412</v>
      </c>
    </row>
    <row r="124" spans="20:33" x14ac:dyDescent="0.2">
      <c r="T124" s="314" t="s">
        <v>78</v>
      </c>
      <c r="U124" s="383">
        <v>125</v>
      </c>
      <c r="V124" s="383">
        <v>125</v>
      </c>
      <c r="W124" s="383">
        <v>125</v>
      </c>
      <c r="X124" s="383">
        <v>125</v>
      </c>
      <c r="Y124" s="383">
        <v>125</v>
      </c>
      <c r="Z124" s="383">
        <v>125</v>
      </c>
      <c r="AA124" s="383">
        <v>125</v>
      </c>
      <c r="AB124" s="383">
        <v>125</v>
      </c>
      <c r="AC124" s="383">
        <v>125</v>
      </c>
      <c r="AD124" s="383">
        <v>125</v>
      </c>
      <c r="AE124" s="383">
        <v>125</v>
      </c>
      <c r="AF124" s="314"/>
      <c r="AG124" s="12" t="s">
        <v>412</v>
      </c>
    </row>
    <row r="125" spans="20:33" x14ac:dyDescent="0.2">
      <c r="T125" s="314" t="s">
        <v>415</v>
      </c>
      <c r="U125" s="314"/>
      <c r="V125" s="384">
        <v>0</v>
      </c>
      <c r="W125" s="384">
        <v>0</v>
      </c>
      <c r="X125" s="384">
        <v>0</v>
      </c>
      <c r="Y125" s="384">
        <v>0</v>
      </c>
      <c r="Z125" s="384">
        <v>0</v>
      </c>
      <c r="AA125" s="384">
        <v>0</v>
      </c>
      <c r="AB125" s="384">
        <v>0</v>
      </c>
      <c r="AC125" s="384">
        <v>0</v>
      </c>
      <c r="AD125" s="384">
        <v>0</v>
      </c>
      <c r="AE125" s="384">
        <v>0</v>
      </c>
      <c r="AF125" s="380">
        <v>0</v>
      </c>
      <c r="AG125" s="12" t="s">
        <v>412</v>
      </c>
    </row>
    <row r="126" spans="20:33" x14ac:dyDescent="0.2">
      <c r="T126" s="314" t="s">
        <v>416</v>
      </c>
      <c r="U126" s="314"/>
      <c r="V126" s="385">
        <v>0</v>
      </c>
      <c r="W126" s="385">
        <v>0</v>
      </c>
      <c r="X126" s="385">
        <v>0</v>
      </c>
      <c r="Y126" s="385">
        <v>0</v>
      </c>
      <c r="Z126" s="385">
        <v>0</v>
      </c>
      <c r="AA126" s="385">
        <v>0</v>
      </c>
      <c r="AB126" s="385">
        <v>0</v>
      </c>
      <c r="AC126" s="385">
        <v>0</v>
      </c>
      <c r="AD126" s="385">
        <v>0</v>
      </c>
      <c r="AE126" s="385">
        <v>0</v>
      </c>
      <c r="AF126" s="380">
        <v>0</v>
      </c>
      <c r="AG126" s="12" t="s">
        <v>412</v>
      </c>
    </row>
    <row r="127" spans="20:33" x14ac:dyDescent="0.2">
      <c r="T127" s="314" t="s">
        <v>438</v>
      </c>
      <c r="U127" s="314"/>
      <c r="V127" s="419">
        <v>0</v>
      </c>
      <c r="W127" s="419">
        <v>0</v>
      </c>
      <c r="X127" s="419">
        <v>0</v>
      </c>
      <c r="Y127" s="419">
        <v>0</v>
      </c>
      <c r="Z127" s="419">
        <v>0</v>
      </c>
      <c r="AA127" s="419">
        <v>0</v>
      </c>
      <c r="AB127" s="419">
        <v>0</v>
      </c>
      <c r="AC127" s="419">
        <v>0</v>
      </c>
      <c r="AD127" s="419">
        <v>0</v>
      </c>
      <c r="AE127" s="419">
        <v>0</v>
      </c>
      <c r="AF127" s="380">
        <v>0</v>
      </c>
      <c r="AG127" s="12"/>
    </row>
    <row r="128" spans="20:33" x14ac:dyDescent="0.2">
      <c r="T128" s="314" t="s">
        <v>382</v>
      </c>
      <c r="U128" s="314"/>
      <c r="V128" s="384">
        <v>0</v>
      </c>
      <c r="W128" s="384">
        <v>0</v>
      </c>
      <c r="X128" s="384">
        <v>0</v>
      </c>
      <c r="Y128" s="384">
        <v>0</v>
      </c>
      <c r="Z128" s="384">
        <v>0</v>
      </c>
      <c r="AA128" s="384">
        <v>0</v>
      </c>
      <c r="AB128" s="384">
        <v>0</v>
      </c>
      <c r="AC128" s="384">
        <v>0</v>
      </c>
      <c r="AD128" s="384">
        <v>0</v>
      </c>
      <c r="AE128" s="384">
        <v>0</v>
      </c>
      <c r="AF128" s="380">
        <v>0</v>
      </c>
      <c r="AG128" s="12" t="s">
        <v>412</v>
      </c>
    </row>
    <row r="129" spans="20:33" x14ac:dyDescent="0.2">
      <c r="T129" s="221" t="s">
        <v>383</v>
      </c>
      <c r="U129" s="381">
        <v>500000</v>
      </c>
      <c r="V129" s="381">
        <v>450000</v>
      </c>
      <c r="W129" s="381">
        <v>405000</v>
      </c>
      <c r="X129" s="381">
        <v>364500</v>
      </c>
      <c r="Y129" s="381">
        <v>328050</v>
      </c>
      <c r="Z129" s="381">
        <v>295245</v>
      </c>
      <c r="AA129" s="381">
        <v>265720.5</v>
      </c>
      <c r="AB129" s="381">
        <v>239148.45</v>
      </c>
      <c r="AC129" s="381">
        <v>215233.60500000001</v>
      </c>
      <c r="AD129" s="381">
        <v>193710.2445</v>
      </c>
      <c r="AE129" s="381">
        <v>174339.22005</v>
      </c>
      <c r="AF129" s="380"/>
      <c r="AG129" s="50" t="s">
        <v>412</v>
      </c>
    </row>
    <row r="130" spans="20:33" x14ac:dyDescent="0.2">
      <c r="T130" s="221" t="s">
        <v>384</v>
      </c>
      <c r="U130" s="379">
        <v>0</v>
      </c>
      <c r="V130" s="379">
        <v>0</v>
      </c>
      <c r="W130" s="379">
        <v>0</v>
      </c>
      <c r="X130" s="379">
        <v>0</v>
      </c>
      <c r="Y130" s="379">
        <v>0</v>
      </c>
      <c r="Z130" s="379">
        <v>0</v>
      </c>
      <c r="AA130" s="379">
        <v>0</v>
      </c>
      <c r="AB130" s="379">
        <v>0</v>
      </c>
      <c r="AC130" s="379">
        <v>0</v>
      </c>
      <c r="AD130" s="379">
        <v>0</v>
      </c>
      <c r="AE130" s="379">
        <v>0</v>
      </c>
      <c r="AF130" s="380">
        <v>0</v>
      </c>
      <c r="AG130" s="50" t="s">
        <v>412</v>
      </c>
    </row>
    <row r="131" spans="20:33" x14ac:dyDescent="0.2">
      <c r="T131" s="221" t="s">
        <v>227</v>
      </c>
      <c r="U131" s="379">
        <v>0</v>
      </c>
      <c r="V131" s="379">
        <v>0</v>
      </c>
      <c r="W131" s="379">
        <v>0</v>
      </c>
      <c r="X131" s="379">
        <v>0</v>
      </c>
      <c r="Y131" s="379">
        <v>0</v>
      </c>
      <c r="Z131" s="379">
        <v>0</v>
      </c>
      <c r="AA131" s="379">
        <v>0</v>
      </c>
      <c r="AB131" s="379">
        <v>0</v>
      </c>
      <c r="AC131" s="379">
        <v>0</v>
      </c>
      <c r="AD131" s="379">
        <v>0</v>
      </c>
      <c r="AE131" s="379">
        <v>0</v>
      </c>
      <c r="AF131" s="380">
        <v>0</v>
      </c>
      <c r="AG131" s="50" t="s">
        <v>412</v>
      </c>
    </row>
    <row r="132" spans="20:33" ht="15.75" x14ac:dyDescent="0.25">
      <c r="T132" s="322" t="s">
        <v>394</v>
      </c>
      <c r="U132" s="251">
        <v>2020</v>
      </c>
      <c r="V132" s="251">
        <v>2021</v>
      </c>
      <c r="W132" s="251">
        <v>2022</v>
      </c>
      <c r="X132" s="251">
        <v>2023</v>
      </c>
      <c r="Y132" s="251">
        <v>2024</v>
      </c>
      <c r="Z132" s="251">
        <v>2025</v>
      </c>
      <c r="AA132" s="251">
        <v>2026</v>
      </c>
      <c r="AB132" s="251">
        <v>2027</v>
      </c>
      <c r="AC132" s="251">
        <v>2028</v>
      </c>
      <c r="AD132" s="251">
        <v>2029</v>
      </c>
      <c r="AE132" s="251">
        <v>2030</v>
      </c>
      <c r="AF132" s="323"/>
      <c r="AG132" s="50" t="s">
        <v>413</v>
      </c>
    </row>
    <row r="133" spans="20:33" x14ac:dyDescent="0.2">
      <c r="T133" s="319" t="s">
        <v>365</v>
      </c>
      <c r="U133" s="381">
        <v>0</v>
      </c>
      <c r="V133" s="381">
        <v>0</v>
      </c>
      <c r="W133" s="381">
        <v>0</v>
      </c>
      <c r="X133" s="381">
        <v>0</v>
      </c>
      <c r="Y133" s="381">
        <v>0</v>
      </c>
      <c r="Z133" s="381">
        <v>0</v>
      </c>
      <c r="AA133" s="381">
        <v>0</v>
      </c>
      <c r="AB133" s="381">
        <v>0</v>
      </c>
      <c r="AC133" s="381">
        <v>0</v>
      </c>
      <c r="AD133" s="381">
        <v>0</v>
      </c>
      <c r="AE133" s="381">
        <v>0</v>
      </c>
      <c r="AF133" s="387">
        <v>0</v>
      </c>
      <c r="AG133" s="50" t="s">
        <v>413</v>
      </c>
    </row>
    <row r="134" spans="20:33" x14ac:dyDescent="0.2">
      <c r="T134" s="319" t="s">
        <v>381</v>
      </c>
      <c r="U134" s="387"/>
      <c r="V134" s="387">
        <v>0</v>
      </c>
      <c r="W134" s="387">
        <v>0</v>
      </c>
      <c r="X134" s="387">
        <v>0</v>
      </c>
      <c r="Y134" s="387">
        <v>0</v>
      </c>
      <c r="Z134" s="387">
        <v>0</v>
      </c>
      <c r="AA134" s="387">
        <v>0</v>
      </c>
      <c r="AB134" s="387">
        <v>0</v>
      </c>
      <c r="AC134" s="387">
        <v>0</v>
      </c>
      <c r="AD134" s="387">
        <v>0</v>
      </c>
      <c r="AE134" s="387">
        <v>0</v>
      </c>
      <c r="AF134" s="388"/>
      <c r="AG134" s="50" t="s">
        <v>413</v>
      </c>
    </row>
    <row r="135" spans="20:33" x14ac:dyDescent="0.2">
      <c r="T135" s="319" t="s">
        <v>418</v>
      </c>
      <c r="U135" s="387">
        <v>30</v>
      </c>
      <c r="V135" s="387">
        <v>30</v>
      </c>
      <c r="W135" s="387">
        <v>30</v>
      </c>
      <c r="X135" s="387">
        <v>30</v>
      </c>
      <c r="Y135" s="387">
        <v>30</v>
      </c>
      <c r="Z135" s="387">
        <v>30</v>
      </c>
      <c r="AA135" s="387">
        <v>30</v>
      </c>
      <c r="AB135" s="387">
        <v>30</v>
      </c>
      <c r="AC135" s="387">
        <v>30</v>
      </c>
      <c r="AD135" s="387">
        <v>30</v>
      </c>
      <c r="AE135" s="387">
        <v>30</v>
      </c>
      <c r="AF135" s="388"/>
      <c r="AG135" s="50" t="s">
        <v>413</v>
      </c>
    </row>
    <row r="136" spans="20:33" x14ac:dyDescent="0.2">
      <c r="T136" s="319" t="s">
        <v>420</v>
      </c>
      <c r="U136" s="387">
        <v>60</v>
      </c>
      <c r="V136" s="387">
        <v>60</v>
      </c>
      <c r="W136" s="387">
        <v>60</v>
      </c>
      <c r="X136" s="387">
        <v>60</v>
      </c>
      <c r="Y136" s="387">
        <v>60</v>
      </c>
      <c r="Z136" s="387">
        <v>60</v>
      </c>
      <c r="AA136" s="387">
        <v>60</v>
      </c>
      <c r="AB136" s="387">
        <v>60</v>
      </c>
      <c r="AC136" s="387">
        <v>60</v>
      </c>
      <c r="AD136" s="387">
        <v>60</v>
      </c>
      <c r="AE136" s="381">
        <v>60</v>
      </c>
      <c r="AF136" s="388"/>
      <c r="AG136" s="50" t="s">
        <v>413</v>
      </c>
    </row>
    <row r="137" spans="20:33" x14ac:dyDescent="0.2">
      <c r="T137" s="319" t="s">
        <v>415</v>
      </c>
      <c r="U137" s="387"/>
      <c r="V137" s="389">
        <v>0</v>
      </c>
      <c r="W137" s="389">
        <v>0</v>
      </c>
      <c r="X137" s="389">
        <v>0</v>
      </c>
      <c r="Y137" s="389">
        <v>0</v>
      </c>
      <c r="Z137" s="389">
        <v>0</v>
      </c>
      <c r="AA137" s="389">
        <v>0</v>
      </c>
      <c r="AB137" s="389">
        <v>0</v>
      </c>
      <c r="AC137" s="389">
        <v>0</v>
      </c>
      <c r="AD137" s="389">
        <v>0</v>
      </c>
      <c r="AE137" s="389">
        <v>0</v>
      </c>
      <c r="AF137" s="388">
        <v>0</v>
      </c>
      <c r="AG137" s="50" t="s">
        <v>413</v>
      </c>
    </row>
    <row r="138" spans="20:33" x14ac:dyDescent="0.2">
      <c r="T138" s="319" t="s">
        <v>416</v>
      </c>
      <c r="U138" s="387"/>
      <c r="V138" s="389">
        <v>0</v>
      </c>
      <c r="W138" s="389">
        <v>0</v>
      </c>
      <c r="X138" s="389">
        <v>0</v>
      </c>
      <c r="Y138" s="389">
        <v>0</v>
      </c>
      <c r="Z138" s="389">
        <v>0</v>
      </c>
      <c r="AA138" s="389">
        <v>0</v>
      </c>
      <c r="AB138" s="389">
        <v>0</v>
      </c>
      <c r="AC138" s="389">
        <v>0</v>
      </c>
      <c r="AD138" s="389">
        <v>0</v>
      </c>
      <c r="AE138" s="389">
        <v>0</v>
      </c>
      <c r="AF138" s="390">
        <v>0</v>
      </c>
      <c r="AG138" s="50" t="s">
        <v>413</v>
      </c>
    </row>
    <row r="139" spans="20:33" x14ac:dyDescent="0.2">
      <c r="T139" s="319" t="s">
        <v>438</v>
      </c>
      <c r="U139" s="387"/>
      <c r="V139" s="420">
        <v>0</v>
      </c>
      <c r="W139" s="420">
        <v>0</v>
      </c>
      <c r="X139" s="420">
        <v>0</v>
      </c>
      <c r="Y139" s="420">
        <v>0</v>
      </c>
      <c r="Z139" s="420">
        <v>0</v>
      </c>
      <c r="AA139" s="420">
        <v>0</v>
      </c>
      <c r="AB139" s="420">
        <v>0</v>
      </c>
      <c r="AC139" s="420">
        <v>0</v>
      </c>
      <c r="AD139" s="420">
        <v>0</v>
      </c>
      <c r="AE139" s="420">
        <v>0</v>
      </c>
      <c r="AF139" s="390">
        <v>0</v>
      </c>
      <c r="AG139" s="50"/>
    </row>
    <row r="140" spans="20:33" x14ac:dyDescent="0.2">
      <c r="T140" s="319" t="s">
        <v>382</v>
      </c>
      <c r="U140" s="387"/>
      <c r="V140" s="386">
        <v>0</v>
      </c>
      <c r="W140" s="386">
        <v>0</v>
      </c>
      <c r="X140" s="386">
        <v>0</v>
      </c>
      <c r="Y140" s="386">
        <v>0</v>
      </c>
      <c r="Z140" s="386">
        <v>0</v>
      </c>
      <c r="AA140" s="386">
        <v>0</v>
      </c>
      <c r="AB140" s="386">
        <v>0</v>
      </c>
      <c r="AC140" s="386">
        <v>0</v>
      </c>
      <c r="AD140" s="386">
        <v>0</v>
      </c>
      <c r="AE140" s="386">
        <v>0</v>
      </c>
      <c r="AF140" s="390">
        <v>0</v>
      </c>
      <c r="AG140" s="50" t="s">
        <v>413</v>
      </c>
    </row>
    <row r="141" spans="20:33" x14ac:dyDescent="0.2">
      <c r="T141" s="319" t="s">
        <v>383</v>
      </c>
      <c r="U141" s="381">
        <v>150000</v>
      </c>
      <c r="V141" s="381">
        <v>135000</v>
      </c>
      <c r="W141" s="381">
        <v>121500</v>
      </c>
      <c r="X141" s="381">
        <v>109350</v>
      </c>
      <c r="Y141" s="381">
        <v>98415</v>
      </c>
      <c r="Z141" s="381">
        <v>88573.5</v>
      </c>
      <c r="AA141" s="381">
        <v>79716.150000000009</v>
      </c>
      <c r="AB141" s="381">
        <v>71744.535000000003</v>
      </c>
      <c r="AC141" s="381">
        <v>64570.081500000008</v>
      </c>
      <c r="AD141" s="381">
        <v>58113.073350000006</v>
      </c>
      <c r="AE141" s="381">
        <v>52301.766015000008</v>
      </c>
      <c r="AF141" s="388"/>
      <c r="AG141" s="50" t="s">
        <v>413</v>
      </c>
    </row>
    <row r="142" spans="20:33" x14ac:dyDescent="0.2">
      <c r="T142" s="319" t="s">
        <v>384</v>
      </c>
      <c r="U142" s="387"/>
      <c r="V142" s="391">
        <v>0</v>
      </c>
      <c r="W142" s="391">
        <v>0</v>
      </c>
      <c r="X142" s="391">
        <v>0</v>
      </c>
      <c r="Y142" s="391">
        <v>0</v>
      </c>
      <c r="Z142" s="391">
        <v>0</v>
      </c>
      <c r="AA142" s="391">
        <v>0</v>
      </c>
      <c r="AB142" s="391">
        <v>0</v>
      </c>
      <c r="AC142" s="391">
        <v>0</v>
      </c>
      <c r="AD142" s="391">
        <v>0</v>
      </c>
      <c r="AE142" s="391">
        <v>0</v>
      </c>
      <c r="AF142" s="388">
        <v>0</v>
      </c>
      <c r="AG142" s="50" t="s">
        <v>413</v>
      </c>
    </row>
    <row r="143" spans="20:33" ht="13.5" thickBot="1" x14ac:dyDescent="0.25">
      <c r="T143" s="320" t="s">
        <v>227</v>
      </c>
      <c r="U143" s="394"/>
      <c r="V143" s="394">
        <v>0</v>
      </c>
      <c r="W143" s="394">
        <v>0</v>
      </c>
      <c r="X143" s="394">
        <v>0</v>
      </c>
      <c r="Y143" s="394">
        <v>0</v>
      </c>
      <c r="Z143" s="394">
        <v>0</v>
      </c>
      <c r="AA143" s="394">
        <v>0</v>
      </c>
      <c r="AB143" s="394">
        <v>0</v>
      </c>
      <c r="AC143" s="394">
        <v>0</v>
      </c>
      <c r="AD143" s="394">
        <v>0</v>
      </c>
      <c r="AE143" s="394">
        <v>0</v>
      </c>
      <c r="AF143" s="395">
        <v>0</v>
      </c>
      <c r="AG143" s="50" t="s">
        <v>413</v>
      </c>
    </row>
    <row r="144" spans="20:33" ht="18" x14ac:dyDescent="0.25">
      <c r="T144" s="400" t="s">
        <v>421</v>
      </c>
      <c r="U144" s="392">
        <v>2020</v>
      </c>
      <c r="V144" s="392">
        <v>2021</v>
      </c>
      <c r="W144" s="392">
        <v>2022</v>
      </c>
      <c r="X144" s="392">
        <v>2023</v>
      </c>
      <c r="Y144" s="392">
        <v>2024</v>
      </c>
      <c r="Z144" s="392">
        <v>2025</v>
      </c>
      <c r="AA144" s="392">
        <v>2026</v>
      </c>
      <c r="AB144" s="392">
        <v>2027</v>
      </c>
      <c r="AC144" s="392">
        <v>2028</v>
      </c>
      <c r="AD144" s="392">
        <v>2029</v>
      </c>
      <c r="AE144" s="392">
        <v>2030</v>
      </c>
      <c r="AF144" s="393"/>
      <c r="AG144" s="50" t="s">
        <v>427</v>
      </c>
    </row>
    <row r="145" spans="20:34" x14ac:dyDescent="0.2">
      <c r="T145" s="401" t="s">
        <v>422</v>
      </c>
      <c r="U145" s="222"/>
      <c r="V145" s="216">
        <v>0</v>
      </c>
      <c r="W145" s="222"/>
      <c r="X145" s="222"/>
      <c r="Y145" s="222"/>
      <c r="Z145" s="222"/>
      <c r="AA145" s="222"/>
      <c r="AB145" s="222"/>
      <c r="AC145" s="222"/>
      <c r="AD145" s="222"/>
      <c r="AE145" s="222"/>
      <c r="AF145" s="402"/>
      <c r="AG145" s="50" t="s">
        <v>427</v>
      </c>
      <c r="AH145" s="12" t="s">
        <v>428</v>
      </c>
    </row>
    <row r="146" spans="20:34" x14ac:dyDescent="0.2">
      <c r="T146" s="401" t="s">
        <v>300</v>
      </c>
      <c r="U146" s="222"/>
      <c r="V146" s="256">
        <v>0</v>
      </c>
      <c r="W146" s="222"/>
      <c r="X146" s="222"/>
      <c r="Y146" s="222"/>
      <c r="Z146" s="222"/>
      <c r="AA146" s="222"/>
      <c r="AB146" s="222"/>
      <c r="AC146" s="222"/>
      <c r="AD146" s="222"/>
      <c r="AE146" s="222"/>
      <c r="AF146" s="402"/>
      <c r="AG146" s="50" t="s">
        <v>427</v>
      </c>
      <c r="AH146" s="12" t="s">
        <v>429</v>
      </c>
    </row>
    <row r="147" spans="20:34" x14ac:dyDescent="0.2">
      <c r="T147" s="403" t="s">
        <v>425</v>
      </c>
      <c r="U147" s="396">
        <v>0</v>
      </c>
      <c r="V147" s="396">
        <v>0</v>
      </c>
      <c r="W147" s="396">
        <v>0</v>
      </c>
      <c r="X147" s="396">
        <v>0</v>
      </c>
      <c r="Y147" s="396">
        <v>0</v>
      </c>
      <c r="Z147" s="396">
        <v>0</v>
      </c>
      <c r="AA147" s="396">
        <v>0</v>
      </c>
      <c r="AB147" s="396">
        <v>0</v>
      </c>
      <c r="AC147" s="396">
        <v>0</v>
      </c>
      <c r="AD147" s="396">
        <v>0</v>
      </c>
      <c r="AE147" s="396">
        <v>0</v>
      </c>
      <c r="AF147" s="404">
        <v>0</v>
      </c>
      <c r="AG147" s="50" t="s">
        <v>427</v>
      </c>
      <c r="AH147" s="12" t="s">
        <v>428</v>
      </c>
    </row>
    <row r="148" spans="20:34" x14ac:dyDescent="0.2">
      <c r="T148" s="403" t="s">
        <v>300</v>
      </c>
      <c r="U148" s="229"/>
      <c r="V148" s="212">
        <v>0</v>
      </c>
      <c r="W148" s="212">
        <v>0</v>
      </c>
      <c r="X148" s="212">
        <v>0</v>
      </c>
      <c r="Y148" s="212">
        <v>0</v>
      </c>
      <c r="Z148" s="212">
        <v>0</v>
      </c>
      <c r="AA148" s="212">
        <v>0</v>
      </c>
      <c r="AB148" s="212">
        <v>0</v>
      </c>
      <c r="AC148" s="212">
        <v>0</v>
      </c>
      <c r="AD148" s="212">
        <v>0</v>
      </c>
      <c r="AE148" s="212">
        <v>0</v>
      </c>
      <c r="AF148" s="405">
        <v>0</v>
      </c>
      <c r="AG148" s="50" t="s">
        <v>427</v>
      </c>
      <c r="AH148" s="12" t="s">
        <v>429</v>
      </c>
    </row>
    <row r="149" spans="20:34" x14ac:dyDescent="0.2">
      <c r="T149" s="148" t="s">
        <v>423</v>
      </c>
      <c r="U149" s="182"/>
      <c r="V149" s="182">
        <v>0</v>
      </c>
      <c r="W149" s="182">
        <v>0</v>
      </c>
      <c r="X149" s="182"/>
      <c r="Y149" s="182"/>
      <c r="Z149" s="182"/>
      <c r="AA149" s="182"/>
      <c r="AB149" s="182"/>
      <c r="AC149" s="182"/>
      <c r="AD149" s="182"/>
      <c r="AE149" s="182"/>
      <c r="AF149" s="406"/>
      <c r="AG149" s="50" t="s">
        <v>427</v>
      </c>
      <c r="AH149" s="12" t="s">
        <v>428</v>
      </c>
    </row>
    <row r="150" spans="20:34" x14ac:dyDescent="0.2">
      <c r="T150" s="148" t="s">
        <v>426</v>
      </c>
      <c r="U150" s="182"/>
      <c r="V150" s="182">
        <v>0.45</v>
      </c>
      <c r="W150" s="182">
        <v>0.9</v>
      </c>
      <c r="X150" s="182">
        <v>0.9</v>
      </c>
      <c r="Y150" s="182">
        <v>0.9</v>
      </c>
      <c r="Z150" s="182">
        <v>0.9</v>
      </c>
      <c r="AA150" s="182">
        <v>0.9</v>
      </c>
      <c r="AB150" s="182">
        <v>0.9</v>
      </c>
      <c r="AC150" s="182">
        <v>0.9</v>
      </c>
      <c r="AD150" s="182">
        <v>0.9</v>
      </c>
      <c r="AE150" s="182">
        <v>0.9</v>
      </c>
      <c r="AF150" s="407">
        <v>8.5500000000000007</v>
      </c>
      <c r="AG150" s="50" t="s">
        <v>427</v>
      </c>
    </row>
    <row r="151" spans="20:34" x14ac:dyDescent="0.2">
      <c r="T151" s="148" t="s">
        <v>227</v>
      </c>
      <c r="U151" s="182"/>
      <c r="V151" s="182">
        <v>0</v>
      </c>
      <c r="W151" s="182">
        <v>0</v>
      </c>
      <c r="X151" s="182"/>
      <c r="Y151" s="182"/>
      <c r="Z151" s="182"/>
      <c r="AA151" s="182"/>
      <c r="AB151" s="182"/>
      <c r="AC151" s="182"/>
      <c r="AD151" s="182"/>
      <c r="AE151" s="182"/>
      <c r="AF151" s="407">
        <v>0</v>
      </c>
      <c r="AG151" s="50" t="s">
        <v>427</v>
      </c>
      <c r="AH151" s="12" t="s">
        <v>429</v>
      </c>
    </row>
    <row r="152" spans="20:34" x14ac:dyDescent="0.2">
      <c r="T152" s="408" t="s">
        <v>424</v>
      </c>
      <c r="U152" s="397"/>
      <c r="V152" s="397">
        <v>0.05</v>
      </c>
      <c r="W152" s="397">
        <v>0.1</v>
      </c>
      <c r="X152" s="397">
        <v>0.1</v>
      </c>
      <c r="Y152" s="397">
        <v>0.1</v>
      </c>
      <c r="Z152" s="397">
        <v>0.15</v>
      </c>
      <c r="AA152" s="397">
        <v>0.2</v>
      </c>
      <c r="AB152" s="397">
        <v>0.2</v>
      </c>
      <c r="AC152" s="397">
        <v>0.1</v>
      </c>
      <c r="AD152" s="397">
        <v>0</v>
      </c>
      <c r="AE152" s="397">
        <v>0</v>
      </c>
      <c r="AF152" s="409">
        <v>0.99999999999999989</v>
      </c>
      <c r="AG152" s="50" t="s">
        <v>427</v>
      </c>
    </row>
    <row r="153" spans="20:34" x14ac:dyDescent="0.2">
      <c r="T153" s="410" t="s">
        <v>430</v>
      </c>
      <c r="U153" s="398"/>
      <c r="V153" s="398"/>
      <c r="W153" s="398"/>
      <c r="X153" s="398"/>
      <c r="Y153" s="398"/>
      <c r="Z153" s="398"/>
      <c r="AA153" s="398"/>
      <c r="AB153" s="398"/>
      <c r="AC153" s="398"/>
      <c r="AD153" s="398"/>
      <c r="AE153" s="398"/>
      <c r="AF153" s="411"/>
    </row>
    <row r="154" spans="20:34" x14ac:dyDescent="0.2">
      <c r="T154" s="410" t="s">
        <v>431</v>
      </c>
      <c r="U154" s="398"/>
      <c r="V154" s="399">
        <v>0</v>
      </c>
      <c r="W154" s="399">
        <v>0</v>
      </c>
      <c r="X154" s="399">
        <v>0</v>
      </c>
      <c r="Y154" s="399">
        <v>0</v>
      </c>
      <c r="Z154" s="399">
        <v>0</v>
      </c>
      <c r="AA154" s="399">
        <v>0</v>
      </c>
      <c r="AB154" s="399">
        <v>0</v>
      </c>
      <c r="AC154" s="399">
        <v>0</v>
      </c>
      <c r="AD154" s="399">
        <v>0</v>
      </c>
      <c r="AE154" s="399">
        <v>0</v>
      </c>
      <c r="AF154" s="412">
        <v>0</v>
      </c>
    </row>
    <row r="155" spans="20:34" ht="13.5" thickBot="1" x14ac:dyDescent="0.25">
      <c r="T155" s="413" t="s">
        <v>300</v>
      </c>
      <c r="U155" s="414"/>
      <c r="V155" s="415">
        <v>0</v>
      </c>
      <c r="W155" s="415">
        <v>0</v>
      </c>
      <c r="X155" s="415">
        <v>0</v>
      </c>
      <c r="Y155" s="415">
        <v>0</v>
      </c>
      <c r="Z155" s="415">
        <v>0</v>
      </c>
      <c r="AA155" s="415">
        <v>0</v>
      </c>
      <c r="AB155" s="415">
        <v>0</v>
      </c>
      <c r="AC155" s="415">
        <v>0</v>
      </c>
      <c r="AD155" s="415">
        <v>0</v>
      </c>
      <c r="AE155" s="415">
        <v>0</v>
      </c>
      <c r="AF155" s="416">
        <v>0</v>
      </c>
    </row>
    <row r="157" spans="20:34" ht="13.5" thickBot="1" x14ac:dyDescent="0.25"/>
    <row r="158" spans="20:34" ht="13.5" thickBot="1" x14ac:dyDescent="0.25">
      <c r="T158" s="357" t="s">
        <v>407</v>
      </c>
      <c r="U158" s="358">
        <v>2020</v>
      </c>
      <c r="V158" s="358">
        <v>2021</v>
      </c>
      <c r="W158" s="358">
        <v>2022</v>
      </c>
      <c r="X158" s="358">
        <v>2023</v>
      </c>
      <c r="Y158" s="358">
        <v>2024</v>
      </c>
      <c r="Z158" s="358">
        <v>2025</v>
      </c>
      <c r="AA158" s="358">
        <v>2026</v>
      </c>
      <c r="AB158" s="358">
        <v>2027</v>
      </c>
      <c r="AC158" s="358">
        <v>2028</v>
      </c>
      <c r="AD158" s="358">
        <v>2029</v>
      </c>
      <c r="AE158" s="359">
        <v>2030</v>
      </c>
    </row>
    <row r="159" spans="20:34" x14ac:dyDescent="0.2">
      <c r="T159" s="349" t="s">
        <v>182</v>
      </c>
      <c r="U159" s="366">
        <v>1</v>
      </c>
      <c r="V159" s="360">
        <v>1</v>
      </c>
      <c r="W159" s="360">
        <v>1</v>
      </c>
      <c r="X159" s="360">
        <v>1</v>
      </c>
      <c r="Y159" s="360">
        <v>1</v>
      </c>
      <c r="Z159" s="360">
        <v>1</v>
      </c>
      <c r="AA159" s="360">
        <v>1</v>
      </c>
      <c r="AB159" s="360">
        <v>1</v>
      </c>
      <c r="AC159" s="360">
        <v>1</v>
      </c>
      <c r="AD159" s="360">
        <v>1</v>
      </c>
      <c r="AE159" s="363">
        <v>1</v>
      </c>
    </row>
    <row r="160" spans="20:34" x14ac:dyDescent="0.2">
      <c r="T160" s="350" t="s">
        <v>183</v>
      </c>
      <c r="U160" s="367">
        <v>1</v>
      </c>
      <c r="V160" s="361">
        <v>1</v>
      </c>
      <c r="W160" s="361">
        <v>1</v>
      </c>
      <c r="X160" s="361">
        <v>1</v>
      </c>
      <c r="Y160" s="361">
        <v>1</v>
      </c>
      <c r="Z160" s="361">
        <v>1</v>
      </c>
      <c r="AA160" s="361">
        <v>1</v>
      </c>
      <c r="AB160" s="361">
        <v>1</v>
      </c>
      <c r="AC160" s="361">
        <v>1</v>
      </c>
      <c r="AD160" s="361">
        <v>1</v>
      </c>
      <c r="AE160" s="364">
        <v>1</v>
      </c>
    </row>
    <row r="161" spans="20:31" ht="13.5" thickBot="1" x14ac:dyDescent="0.25">
      <c r="T161" s="351" t="s">
        <v>408</v>
      </c>
      <c r="U161" s="368">
        <v>0.12</v>
      </c>
      <c r="V161" s="362">
        <v>0.12</v>
      </c>
      <c r="W161" s="362">
        <v>0.12</v>
      </c>
      <c r="X161" s="362">
        <v>0.12</v>
      </c>
      <c r="Y161" s="362">
        <v>0.12</v>
      </c>
      <c r="Z161" s="362">
        <v>0.12</v>
      </c>
      <c r="AA161" s="362">
        <v>0.12</v>
      </c>
      <c r="AB161" s="362">
        <v>0.12</v>
      </c>
      <c r="AC161" s="362">
        <v>0.12</v>
      </c>
      <c r="AD161" s="362">
        <v>0.12</v>
      </c>
      <c r="AE161" s="365">
        <v>0.12</v>
      </c>
    </row>
    <row r="162" spans="20:31" x14ac:dyDescent="0.2">
      <c r="T162" s="349" t="s">
        <v>409</v>
      </c>
      <c r="U162" s="352">
        <v>29.411764705882351</v>
      </c>
      <c r="V162" s="352">
        <v>29.411764705882351</v>
      </c>
      <c r="W162" s="352">
        <v>29.411764705882351</v>
      </c>
      <c r="X162" s="352">
        <v>29.411764705882351</v>
      </c>
      <c r="Y162" s="352">
        <v>29.411764705882351</v>
      </c>
      <c r="Z162" s="352">
        <v>29.411764705882351</v>
      </c>
      <c r="AA162" s="352">
        <v>29.411764705882351</v>
      </c>
      <c r="AB162" s="352">
        <v>29.411764705882351</v>
      </c>
      <c r="AC162" s="352">
        <v>29.411764705882351</v>
      </c>
      <c r="AD162" s="352">
        <v>29.411764705882351</v>
      </c>
      <c r="AE162" s="353">
        <v>29.411764705882351</v>
      </c>
    </row>
    <row r="163" spans="20:31" x14ac:dyDescent="0.2">
      <c r="T163" s="350" t="s">
        <v>410</v>
      </c>
      <c r="U163" s="348">
        <v>25.974025974025977</v>
      </c>
      <c r="V163" s="348">
        <v>25.974025974025977</v>
      </c>
      <c r="W163" s="348">
        <v>25.974025974025977</v>
      </c>
      <c r="X163" s="348">
        <v>25.974025974025977</v>
      </c>
      <c r="Y163" s="348">
        <v>25.974025974025977</v>
      </c>
      <c r="Z163" s="348">
        <v>25.974025974025977</v>
      </c>
      <c r="AA163" s="348">
        <v>25.974025974025977</v>
      </c>
      <c r="AB163" s="348">
        <v>25.974025974025977</v>
      </c>
      <c r="AC163" s="348">
        <v>25.974025974025977</v>
      </c>
      <c r="AD163" s="348">
        <v>25.974025974025977</v>
      </c>
      <c r="AE163" s="354">
        <v>25.974025974025977</v>
      </c>
    </row>
    <row r="164" spans="20:31" ht="13.5" thickBot="1" x14ac:dyDescent="0.25">
      <c r="T164" s="351" t="s">
        <v>411</v>
      </c>
      <c r="U164" s="355">
        <v>33.36</v>
      </c>
      <c r="V164" s="355">
        <v>33.36</v>
      </c>
      <c r="W164" s="355">
        <v>33.36</v>
      </c>
      <c r="X164" s="355">
        <v>33.36</v>
      </c>
      <c r="Y164" s="355">
        <v>33.36</v>
      </c>
      <c r="Z164" s="355">
        <v>33.36</v>
      </c>
      <c r="AA164" s="355">
        <v>33.36</v>
      </c>
      <c r="AB164" s="355">
        <v>33.36</v>
      </c>
      <c r="AC164" s="355">
        <v>33.36</v>
      </c>
      <c r="AD164" s="355">
        <v>33.36</v>
      </c>
      <c r="AE164" s="356">
        <v>33.36</v>
      </c>
    </row>
    <row r="166" spans="20:31" x14ac:dyDescent="0.2">
      <c r="T166" s="241" t="s">
        <v>417</v>
      </c>
      <c r="U166" s="121">
        <v>125.89928057553956</v>
      </c>
      <c r="V166" s="245">
        <v>125.90934889392238</v>
      </c>
      <c r="W166" s="245">
        <v>125.91941801748087</v>
      </c>
      <c r="X166" s="245">
        <v>125.92948794627938</v>
      </c>
      <c r="Y166" s="245">
        <v>125.93955868038233</v>
      </c>
      <c r="Z166" s="245">
        <v>125.94963021985413</v>
      </c>
      <c r="AA166" s="245">
        <v>125.95970256475917</v>
      </c>
      <c r="AB166" s="245">
        <v>125.96977571516186</v>
      </c>
      <c r="AC166" s="245">
        <v>125.97984967112662</v>
      </c>
      <c r="AD166" s="245">
        <v>125.98992443271787</v>
      </c>
      <c r="AE166" s="378">
        <v>126</v>
      </c>
    </row>
    <row r="169" spans="20:31" ht="20.25" x14ac:dyDescent="0.3">
      <c r="T169" s="511" t="s">
        <v>273</v>
      </c>
      <c r="U169" s="512"/>
      <c r="V169" s="512"/>
      <c r="W169" s="513"/>
      <c r="AE169" s="12"/>
    </row>
    <row r="170" spans="20:31" ht="15" x14ac:dyDescent="0.25">
      <c r="T170" s="223" t="s">
        <v>265</v>
      </c>
      <c r="U170" s="126" t="s">
        <v>249</v>
      </c>
      <c r="V170" s="126" t="s">
        <v>250</v>
      </c>
      <c r="W170" s="126" t="s">
        <v>251</v>
      </c>
    </row>
    <row r="171" spans="20:31" x14ac:dyDescent="0.2">
      <c r="T171" s="210" t="s">
        <v>266</v>
      </c>
      <c r="U171" s="131">
        <v>5.1999999999999998E-2</v>
      </c>
      <c r="V171" s="131">
        <v>4.2000000000000003E-2</v>
      </c>
      <c r="W171" s="131">
        <v>0.02</v>
      </c>
    </row>
    <row r="172" spans="20:31" x14ac:dyDescent="0.2">
      <c r="T172" s="210" t="s">
        <v>267</v>
      </c>
      <c r="U172" s="131">
        <v>0.1</v>
      </c>
      <c r="V172" s="131">
        <v>7.4999999999999997E-2</v>
      </c>
      <c r="W172" s="131">
        <v>7.4999999999999997E-2</v>
      </c>
    </row>
    <row r="173" spans="20:31" x14ac:dyDescent="0.2">
      <c r="T173" s="210" t="s">
        <v>269</v>
      </c>
      <c r="U173" s="134">
        <v>17600</v>
      </c>
      <c r="V173" s="134">
        <v>22500</v>
      </c>
      <c r="W173" s="134">
        <v>82000</v>
      </c>
    </row>
    <row r="174" spans="20:31" x14ac:dyDescent="0.2">
      <c r="T174" s="210" t="s">
        <v>268</v>
      </c>
      <c r="U174" s="128">
        <v>11</v>
      </c>
      <c r="V174" s="128">
        <v>21</v>
      </c>
      <c r="W174" s="128">
        <v>31</v>
      </c>
    </row>
    <row r="175" spans="20:31" x14ac:dyDescent="0.2">
      <c r="T175" s="210" t="s">
        <v>270</v>
      </c>
      <c r="U175" s="128">
        <v>40</v>
      </c>
      <c r="V175" s="128">
        <v>80</v>
      </c>
      <c r="W175" s="128">
        <v>125</v>
      </c>
    </row>
    <row r="176" spans="20:31" x14ac:dyDescent="0.2">
      <c r="T176" s="210" t="s">
        <v>271</v>
      </c>
      <c r="U176" s="133">
        <v>2500</v>
      </c>
      <c r="V176" s="133">
        <v>20000</v>
      </c>
      <c r="W176" s="133">
        <v>65000</v>
      </c>
    </row>
    <row r="177" spans="20:32" x14ac:dyDescent="0.2">
      <c r="T177" s="210" t="s">
        <v>272</v>
      </c>
      <c r="U177" s="131">
        <v>0.1</v>
      </c>
      <c r="V177" s="131">
        <v>0.04</v>
      </c>
      <c r="W177" s="131">
        <v>0.04</v>
      </c>
    </row>
    <row r="179" spans="20:32" ht="20.25" x14ac:dyDescent="0.3">
      <c r="T179" s="514" t="s">
        <v>284</v>
      </c>
      <c r="U179" s="514"/>
      <c r="V179" s="514"/>
    </row>
    <row r="180" spans="20:32" ht="15" x14ac:dyDescent="0.2">
      <c r="T180" s="224" t="s">
        <v>279</v>
      </c>
      <c r="U180" s="126" t="s">
        <v>6</v>
      </c>
      <c r="V180" s="126" t="s">
        <v>280</v>
      </c>
    </row>
    <row r="181" spans="20:32" x14ac:dyDescent="0.2">
      <c r="T181" s="73" t="s">
        <v>267</v>
      </c>
      <c r="U181" s="131">
        <v>0.1</v>
      </c>
      <c r="V181" s="131">
        <v>0.1</v>
      </c>
    </row>
    <row r="182" spans="20:32" x14ac:dyDescent="0.2">
      <c r="T182" s="73" t="s">
        <v>268</v>
      </c>
      <c r="U182" s="170">
        <v>8</v>
      </c>
      <c r="V182" s="170">
        <v>11</v>
      </c>
    </row>
    <row r="183" spans="20:32" x14ac:dyDescent="0.2">
      <c r="T183" s="73" t="s">
        <v>281</v>
      </c>
      <c r="U183" s="170">
        <v>20</v>
      </c>
      <c r="V183" s="170">
        <v>27.5</v>
      </c>
    </row>
    <row r="184" spans="20:32" x14ac:dyDescent="0.2">
      <c r="T184" s="73" t="s">
        <v>282</v>
      </c>
      <c r="U184" s="133">
        <v>2500</v>
      </c>
      <c r="V184" s="133">
        <v>15000</v>
      </c>
    </row>
    <row r="185" spans="20:32" x14ac:dyDescent="0.2">
      <c r="T185" s="73" t="s">
        <v>283</v>
      </c>
      <c r="U185" s="131">
        <v>7.0000000000000007E-2</v>
      </c>
      <c r="V185" s="131">
        <v>0.1</v>
      </c>
    </row>
    <row r="187" spans="20:32" x14ac:dyDescent="0.2">
      <c r="T187" s="417" t="s">
        <v>432</v>
      </c>
      <c r="U187" s="40">
        <v>2020</v>
      </c>
      <c r="V187" s="40">
        <v>2021</v>
      </c>
      <c r="W187" s="40">
        <v>2022</v>
      </c>
      <c r="X187" s="40">
        <v>2023</v>
      </c>
      <c r="Y187" s="40">
        <v>2024</v>
      </c>
      <c r="Z187" s="40">
        <v>2025</v>
      </c>
      <c r="AA187" s="40">
        <v>2026</v>
      </c>
      <c r="AB187" s="40">
        <v>2027</v>
      </c>
      <c r="AC187" s="40">
        <v>2028</v>
      </c>
      <c r="AD187" s="40">
        <v>2029</v>
      </c>
      <c r="AE187" s="40">
        <v>2030</v>
      </c>
      <c r="AF187" s="41" t="s">
        <v>435</v>
      </c>
    </row>
    <row r="188" spans="20:32" x14ac:dyDescent="0.2">
      <c r="T188" s="417" t="s">
        <v>433</v>
      </c>
      <c r="U188" s="40"/>
      <c r="V188" s="40"/>
      <c r="W188" s="40"/>
      <c r="X188" s="40"/>
      <c r="Y188" s="40"/>
      <c r="Z188" s="40"/>
      <c r="AA188" s="40"/>
      <c r="AB188" s="40"/>
      <c r="AC188" s="40"/>
      <c r="AD188" s="40"/>
      <c r="AE188" s="40"/>
      <c r="AF188" s="40">
        <v>0</v>
      </c>
    </row>
    <row r="189" spans="20:32" x14ac:dyDescent="0.2">
      <c r="T189" s="180" t="s">
        <v>356</v>
      </c>
      <c r="U189" s="63">
        <v>0</v>
      </c>
      <c r="V189" s="63">
        <v>0</v>
      </c>
      <c r="W189" s="63">
        <v>0</v>
      </c>
      <c r="X189" s="63">
        <v>0</v>
      </c>
      <c r="Y189" s="63">
        <v>0</v>
      </c>
      <c r="Z189" s="63">
        <v>0</v>
      </c>
      <c r="AA189" s="63">
        <v>0</v>
      </c>
      <c r="AB189" s="63">
        <v>0</v>
      </c>
      <c r="AC189" s="63">
        <v>0</v>
      </c>
      <c r="AD189" s="63">
        <v>0</v>
      </c>
      <c r="AE189" s="63">
        <v>0</v>
      </c>
      <c r="AF189" s="63">
        <v>0</v>
      </c>
    </row>
    <row r="190" spans="20:32" x14ac:dyDescent="0.2">
      <c r="T190" s="40" t="s">
        <v>310</v>
      </c>
      <c r="U190" s="63">
        <v>0</v>
      </c>
      <c r="V190" s="63">
        <v>0</v>
      </c>
      <c r="W190" s="63">
        <v>0</v>
      </c>
      <c r="X190" s="63">
        <v>0</v>
      </c>
      <c r="Y190" s="63">
        <v>0</v>
      </c>
      <c r="Z190" s="63">
        <v>0</v>
      </c>
      <c r="AA190" s="63">
        <v>0</v>
      </c>
      <c r="AB190" s="63">
        <v>0</v>
      </c>
      <c r="AC190" s="63">
        <v>0</v>
      </c>
      <c r="AD190" s="63">
        <v>0</v>
      </c>
      <c r="AE190" s="63">
        <v>0</v>
      </c>
      <c r="AF190" s="63">
        <v>0</v>
      </c>
    </row>
    <row r="191" spans="20:32" x14ac:dyDescent="0.2">
      <c r="T191" s="41" t="s">
        <v>311</v>
      </c>
      <c r="U191" s="63">
        <v>0</v>
      </c>
      <c r="V191" s="63">
        <v>0</v>
      </c>
      <c r="W191" s="63">
        <v>0</v>
      </c>
      <c r="X191" s="63">
        <v>0</v>
      </c>
      <c r="Y191" s="63">
        <v>0</v>
      </c>
      <c r="Z191" s="63">
        <v>0</v>
      </c>
      <c r="AA191" s="63">
        <v>0</v>
      </c>
      <c r="AB191" s="63">
        <v>0</v>
      </c>
      <c r="AC191" s="63">
        <v>0</v>
      </c>
      <c r="AD191" s="63">
        <v>0</v>
      </c>
      <c r="AE191" s="63">
        <v>0</v>
      </c>
      <c r="AF191" s="63">
        <v>0</v>
      </c>
    </row>
    <row r="192" spans="20:32" x14ac:dyDescent="0.2">
      <c r="T192" s="41" t="s">
        <v>434</v>
      </c>
      <c r="U192" s="63">
        <v>0</v>
      </c>
      <c r="V192" s="63">
        <v>0</v>
      </c>
      <c r="W192" s="63">
        <v>0</v>
      </c>
      <c r="X192" s="63">
        <v>0</v>
      </c>
      <c r="Y192" s="63">
        <v>0</v>
      </c>
      <c r="Z192" s="63">
        <v>0</v>
      </c>
      <c r="AA192" s="63">
        <v>0</v>
      </c>
      <c r="AB192" s="63">
        <v>0</v>
      </c>
      <c r="AC192" s="63">
        <v>0</v>
      </c>
      <c r="AD192" s="63">
        <v>0</v>
      </c>
      <c r="AE192" s="63">
        <v>0</v>
      </c>
      <c r="AF192" s="63">
        <v>0</v>
      </c>
    </row>
    <row r="193" spans="20:32" x14ac:dyDescent="0.2">
      <c r="T193" s="40" t="s">
        <v>330</v>
      </c>
      <c r="U193" s="63">
        <v>0</v>
      </c>
      <c r="V193" s="63">
        <v>0</v>
      </c>
      <c r="W193" s="63">
        <v>0</v>
      </c>
      <c r="X193" s="63">
        <v>0</v>
      </c>
      <c r="Y193" s="63">
        <v>0</v>
      </c>
      <c r="Z193" s="63">
        <v>0</v>
      </c>
      <c r="AA193" s="63">
        <v>0</v>
      </c>
      <c r="AB193" s="63">
        <v>0</v>
      </c>
      <c r="AC193" s="63">
        <v>0</v>
      </c>
      <c r="AD193" s="63">
        <v>0</v>
      </c>
      <c r="AE193" s="63">
        <v>0</v>
      </c>
      <c r="AF193" s="63">
        <v>0</v>
      </c>
    </row>
    <row r="194" spans="20:32" x14ac:dyDescent="0.2">
      <c r="T194" s="40" t="s">
        <v>349</v>
      </c>
      <c r="U194" s="63">
        <v>0</v>
      </c>
      <c r="V194" s="63">
        <v>0</v>
      </c>
      <c r="W194" s="63">
        <v>0</v>
      </c>
      <c r="X194" s="63">
        <v>0</v>
      </c>
      <c r="Y194" s="63">
        <v>0</v>
      </c>
      <c r="Z194" s="63">
        <v>0</v>
      </c>
      <c r="AA194" s="63">
        <v>0</v>
      </c>
      <c r="AB194" s="63">
        <v>0</v>
      </c>
      <c r="AC194" s="63">
        <v>0</v>
      </c>
      <c r="AD194" s="63">
        <v>0</v>
      </c>
      <c r="AE194" s="63">
        <v>0</v>
      </c>
      <c r="AF194" s="63">
        <v>0</v>
      </c>
    </row>
    <row r="195" spans="20:32" x14ac:dyDescent="0.2">
      <c r="T195" s="40" t="s">
        <v>362</v>
      </c>
      <c r="U195" s="63">
        <v>0</v>
      </c>
      <c r="V195" s="63">
        <v>0</v>
      </c>
      <c r="W195" s="63">
        <v>0</v>
      </c>
      <c r="X195" s="63">
        <v>0</v>
      </c>
      <c r="Y195" s="63">
        <v>0</v>
      </c>
      <c r="Z195" s="63">
        <v>0</v>
      </c>
      <c r="AA195" s="63">
        <v>0</v>
      </c>
      <c r="AB195" s="63">
        <v>0</v>
      </c>
      <c r="AC195" s="63">
        <v>0</v>
      </c>
      <c r="AD195" s="63">
        <v>0</v>
      </c>
      <c r="AE195" s="63">
        <v>0</v>
      </c>
      <c r="AF195" s="63">
        <v>0</v>
      </c>
    </row>
    <row r="196" spans="20:32" x14ac:dyDescent="0.2">
      <c r="T196" s="41" t="s">
        <v>55</v>
      </c>
      <c r="U196" s="63">
        <v>0</v>
      </c>
      <c r="V196" s="63">
        <v>0</v>
      </c>
      <c r="W196" s="63">
        <v>0</v>
      </c>
      <c r="X196" s="63">
        <v>0</v>
      </c>
      <c r="Y196" s="63">
        <v>0</v>
      </c>
      <c r="Z196" s="63">
        <v>0</v>
      </c>
      <c r="AA196" s="63">
        <v>0</v>
      </c>
      <c r="AB196" s="63">
        <v>0</v>
      </c>
      <c r="AC196" s="63">
        <v>0</v>
      </c>
      <c r="AD196" s="63">
        <v>0</v>
      </c>
      <c r="AE196" s="63">
        <v>0</v>
      </c>
      <c r="AF196" s="63">
        <v>0</v>
      </c>
    </row>
    <row r="198" spans="20:32" x14ac:dyDescent="0.2">
      <c r="T198" s="12" t="s">
        <v>436</v>
      </c>
    </row>
    <row r="199" spans="20:32" x14ac:dyDescent="0.2">
      <c r="T199" s="40" t="s">
        <v>356</v>
      </c>
      <c r="U199" s="418">
        <v>0</v>
      </c>
      <c r="V199" s="418">
        <v>0</v>
      </c>
      <c r="W199" s="418">
        <v>0</v>
      </c>
      <c r="X199" s="418">
        <v>0</v>
      </c>
      <c r="Y199" s="418">
        <v>0</v>
      </c>
      <c r="Z199" s="418">
        <v>0</v>
      </c>
      <c r="AA199" s="418">
        <v>0</v>
      </c>
      <c r="AB199" s="418">
        <v>0</v>
      </c>
      <c r="AC199" s="418">
        <v>0</v>
      </c>
      <c r="AD199" s="418">
        <v>0</v>
      </c>
      <c r="AE199" s="418">
        <v>0</v>
      </c>
      <c r="AF199" s="63">
        <v>0</v>
      </c>
    </row>
    <row r="200" spans="20:32" x14ac:dyDescent="0.2">
      <c r="T200" s="40" t="s">
        <v>310</v>
      </c>
      <c r="U200" s="418">
        <v>0</v>
      </c>
      <c r="V200" s="418">
        <v>0</v>
      </c>
      <c r="W200" s="418">
        <v>0</v>
      </c>
      <c r="X200" s="418">
        <v>0</v>
      </c>
      <c r="Y200" s="418">
        <v>0</v>
      </c>
      <c r="Z200" s="418">
        <v>0</v>
      </c>
      <c r="AA200" s="418">
        <v>0</v>
      </c>
      <c r="AB200" s="418">
        <v>0</v>
      </c>
      <c r="AC200" s="418">
        <v>0</v>
      </c>
      <c r="AD200" s="418">
        <v>0</v>
      </c>
      <c r="AE200" s="418">
        <v>0</v>
      </c>
      <c r="AF200" s="63">
        <v>0</v>
      </c>
    </row>
    <row r="201" spans="20:32" x14ac:dyDescent="0.2">
      <c r="T201" s="41" t="s">
        <v>311</v>
      </c>
      <c r="U201" s="418">
        <v>0</v>
      </c>
      <c r="V201" s="418">
        <v>0</v>
      </c>
      <c r="W201" s="418">
        <v>0</v>
      </c>
      <c r="X201" s="418">
        <v>0</v>
      </c>
      <c r="Y201" s="418">
        <v>0</v>
      </c>
      <c r="Z201" s="418">
        <v>0</v>
      </c>
      <c r="AA201" s="418">
        <v>0</v>
      </c>
      <c r="AB201" s="418">
        <v>0</v>
      </c>
      <c r="AC201" s="418">
        <v>0</v>
      </c>
      <c r="AD201" s="418">
        <v>0</v>
      </c>
      <c r="AE201" s="418">
        <v>0</v>
      </c>
      <c r="AF201" s="63">
        <v>0</v>
      </c>
    </row>
    <row r="202" spans="20:32" x14ac:dyDescent="0.2">
      <c r="T202" s="41" t="s">
        <v>434</v>
      </c>
      <c r="U202" s="418">
        <v>0</v>
      </c>
      <c r="V202" s="418">
        <v>0</v>
      </c>
      <c r="W202" s="418">
        <v>0</v>
      </c>
      <c r="X202" s="418">
        <v>0</v>
      </c>
      <c r="Y202" s="418">
        <v>0</v>
      </c>
      <c r="Z202" s="418">
        <v>0</v>
      </c>
      <c r="AA202" s="418">
        <v>0</v>
      </c>
      <c r="AB202" s="418">
        <v>0</v>
      </c>
      <c r="AC202" s="418">
        <v>0</v>
      </c>
      <c r="AD202" s="418">
        <v>0</v>
      </c>
      <c r="AE202" s="418">
        <v>0</v>
      </c>
      <c r="AF202" s="63">
        <v>0</v>
      </c>
    </row>
    <row r="203" spans="20:32" x14ac:dyDescent="0.2">
      <c r="T203" s="40" t="s">
        <v>330</v>
      </c>
      <c r="U203" s="40"/>
      <c r="V203" s="40"/>
      <c r="W203" s="40"/>
      <c r="X203" s="40"/>
      <c r="Y203" s="40"/>
      <c r="Z203" s="40"/>
      <c r="AA203" s="40"/>
      <c r="AB203" s="40"/>
      <c r="AC203" s="40"/>
      <c r="AD203" s="40"/>
      <c r="AE203" s="40"/>
      <c r="AF203" s="63">
        <v>0</v>
      </c>
    </row>
    <row r="204" spans="20:32" x14ac:dyDescent="0.2">
      <c r="T204" s="40" t="s">
        <v>349</v>
      </c>
      <c r="U204" s="40"/>
      <c r="V204" s="40"/>
      <c r="W204" s="40"/>
      <c r="X204" s="40"/>
      <c r="Y204" s="40"/>
      <c r="Z204" s="40"/>
      <c r="AA204" s="40"/>
      <c r="AB204" s="40"/>
      <c r="AC204" s="40"/>
      <c r="AD204" s="40"/>
      <c r="AE204" s="40"/>
      <c r="AF204" s="63">
        <v>0</v>
      </c>
    </row>
    <row r="205" spans="20:32" x14ac:dyDescent="0.2">
      <c r="T205" s="40" t="s">
        <v>362</v>
      </c>
      <c r="U205" s="40"/>
      <c r="V205" s="40">
        <v>0</v>
      </c>
      <c r="W205" s="40">
        <v>0</v>
      </c>
      <c r="X205" s="40">
        <v>0</v>
      </c>
      <c r="Y205" s="40">
        <v>0</v>
      </c>
      <c r="Z205" s="40">
        <v>0</v>
      </c>
      <c r="AA205" s="40">
        <v>0</v>
      </c>
      <c r="AB205" s="40">
        <v>0</v>
      </c>
      <c r="AC205" s="40">
        <v>0</v>
      </c>
      <c r="AD205" s="40">
        <v>0</v>
      </c>
      <c r="AE205" s="40">
        <v>0</v>
      </c>
      <c r="AF205" s="63">
        <v>0</v>
      </c>
    </row>
    <row r="206" spans="20:32" x14ac:dyDescent="0.2">
      <c r="T206" s="41" t="s">
        <v>55</v>
      </c>
      <c r="U206" s="63">
        <v>0</v>
      </c>
      <c r="V206" s="63">
        <v>0</v>
      </c>
      <c r="W206" s="63">
        <v>0</v>
      </c>
      <c r="X206" s="63">
        <v>0</v>
      </c>
      <c r="Y206" s="63">
        <v>0</v>
      </c>
      <c r="Z206" s="63">
        <v>0</v>
      </c>
      <c r="AA206" s="63">
        <v>0</v>
      </c>
      <c r="AB206" s="63">
        <v>0</v>
      </c>
      <c r="AC206" s="63">
        <v>0</v>
      </c>
      <c r="AD206" s="63">
        <v>0</v>
      </c>
      <c r="AE206" s="63">
        <v>0</v>
      </c>
      <c r="AF206" s="63">
        <v>0</v>
      </c>
    </row>
    <row r="208" spans="20:32" x14ac:dyDescent="0.2">
      <c r="T208" s="12" t="s">
        <v>437</v>
      </c>
    </row>
    <row r="209" spans="20:32" x14ac:dyDescent="0.2">
      <c r="T209" s="40" t="s">
        <v>356</v>
      </c>
      <c r="U209" s="106">
        <v>0</v>
      </c>
      <c r="V209" s="106">
        <v>0</v>
      </c>
      <c r="W209" s="106">
        <v>0</v>
      </c>
      <c r="X209" s="106">
        <v>0</v>
      </c>
      <c r="Y209" s="106">
        <v>0</v>
      </c>
      <c r="Z209" s="106">
        <v>0</v>
      </c>
      <c r="AA209" s="106">
        <v>0</v>
      </c>
      <c r="AB209" s="106">
        <v>0</v>
      </c>
      <c r="AC209" s="106">
        <v>0</v>
      </c>
      <c r="AD209" s="106">
        <v>0</v>
      </c>
      <c r="AE209" s="106">
        <v>0</v>
      </c>
      <c r="AF209" s="106">
        <v>0</v>
      </c>
    </row>
    <row r="210" spans="20:32" x14ac:dyDescent="0.2">
      <c r="T210" s="40" t="s">
        <v>310</v>
      </c>
      <c r="U210" s="106">
        <v>0</v>
      </c>
      <c r="V210" s="106">
        <v>0</v>
      </c>
      <c r="W210" s="106">
        <v>0</v>
      </c>
      <c r="X210" s="106">
        <v>0</v>
      </c>
      <c r="Y210" s="106">
        <v>0</v>
      </c>
      <c r="Z210" s="106">
        <v>0</v>
      </c>
      <c r="AA210" s="106">
        <v>0</v>
      </c>
      <c r="AB210" s="106">
        <v>0</v>
      </c>
      <c r="AC210" s="106">
        <v>0</v>
      </c>
      <c r="AD210" s="106">
        <v>0</v>
      </c>
      <c r="AE210" s="106">
        <v>0</v>
      </c>
      <c r="AF210" s="106">
        <v>0</v>
      </c>
    </row>
    <row r="211" spans="20:32" x14ac:dyDescent="0.2">
      <c r="T211" s="41" t="s">
        <v>311</v>
      </c>
      <c r="U211" s="106">
        <v>0</v>
      </c>
      <c r="V211" s="106">
        <v>0</v>
      </c>
      <c r="W211" s="106">
        <v>0</v>
      </c>
      <c r="X211" s="106">
        <v>0</v>
      </c>
      <c r="Y211" s="106">
        <v>0</v>
      </c>
      <c r="Z211" s="106">
        <v>0</v>
      </c>
      <c r="AA211" s="106">
        <v>0</v>
      </c>
      <c r="AB211" s="106">
        <v>0</v>
      </c>
      <c r="AC211" s="106">
        <v>0</v>
      </c>
      <c r="AD211" s="106">
        <v>0</v>
      </c>
      <c r="AE211" s="106">
        <v>0</v>
      </c>
      <c r="AF211" s="106">
        <v>0</v>
      </c>
    </row>
    <row r="212" spans="20:32" x14ac:dyDescent="0.2">
      <c r="T212" s="41" t="s">
        <v>434</v>
      </c>
      <c r="U212" s="106">
        <v>0</v>
      </c>
      <c r="V212" s="106">
        <v>0</v>
      </c>
      <c r="W212" s="106">
        <v>0</v>
      </c>
      <c r="X212" s="106">
        <v>0</v>
      </c>
      <c r="Y212" s="106">
        <v>0</v>
      </c>
      <c r="Z212" s="106">
        <v>0</v>
      </c>
      <c r="AA212" s="106">
        <v>0</v>
      </c>
      <c r="AB212" s="106">
        <v>0</v>
      </c>
      <c r="AC212" s="106">
        <v>0</v>
      </c>
      <c r="AD212" s="106">
        <v>0</v>
      </c>
      <c r="AE212" s="106">
        <v>0</v>
      </c>
      <c r="AF212" s="106">
        <v>0</v>
      </c>
    </row>
    <row r="213" spans="20:32" x14ac:dyDescent="0.2">
      <c r="T213" s="40" t="s">
        <v>330</v>
      </c>
      <c r="U213" s="106"/>
      <c r="V213" s="106"/>
      <c r="W213" s="106"/>
      <c r="X213" s="106"/>
      <c r="Y213" s="106"/>
      <c r="Z213" s="106"/>
      <c r="AA213" s="106"/>
      <c r="AB213" s="106"/>
      <c r="AC213" s="106"/>
      <c r="AD213" s="106"/>
      <c r="AE213" s="106"/>
      <c r="AF213" s="106">
        <v>0</v>
      </c>
    </row>
    <row r="214" spans="20:32" x14ac:dyDescent="0.2">
      <c r="T214" s="40" t="s">
        <v>349</v>
      </c>
      <c r="U214" s="106"/>
      <c r="V214" s="106"/>
      <c r="W214" s="106"/>
      <c r="X214" s="106"/>
      <c r="Y214" s="106"/>
      <c r="Z214" s="106"/>
      <c r="AA214" s="106"/>
      <c r="AB214" s="106"/>
      <c r="AC214" s="106"/>
      <c r="AD214" s="106"/>
      <c r="AE214" s="106"/>
      <c r="AF214" s="106">
        <v>0</v>
      </c>
    </row>
    <row r="215" spans="20:32" x14ac:dyDescent="0.2">
      <c r="T215" s="40" t="s">
        <v>362</v>
      </c>
      <c r="U215" s="106"/>
      <c r="V215" s="106"/>
      <c r="W215" s="106"/>
      <c r="X215" s="106"/>
      <c r="Y215" s="106"/>
      <c r="Z215" s="106"/>
      <c r="AA215" s="106"/>
      <c r="AB215" s="106"/>
      <c r="AC215" s="106"/>
      <c r="AD215" s="106"/>
      <c r="AE215" s="106"/>
      <c r="AF215" s="106">
        <v>0</v>
      </c>
    </row>
    <row r="216" spans="20:32" x14ac:dyDescent="0.2">
      <c r="T216" s="41" t="s">
        <v>55</v>
      </c>
      <c r="U216" s="106">
        <v>0</v>
      </c>
      <c r="V216" s="106">
        <v>0</v>
      </c>
      <c r="W216" s="106">
        <v>0</v>
      </c>
      <c r="X216" s="106">
        <v>0</v>
      </c>
      <c r="Y216" s="106">
        <v>0</v>
      </c>
      <c r="Z216" s="106">
        <v>0</v>
      </c>
      <c r="AA216" s="106">
        <v>0</v>
      </c>
      <c r="AB216" s="106">
        <v>0</v>
      </c>
      <c r="AC216" s="106">
        <v>0</v>
      </c>
      <c r="AD216" s="106">
        <v>0</v>
      </c>
      <c r="AE216" s="106">
        <v>0</v>
      </c>
      <c r="AF216" s="106">
        <v>0</v>
      </c>
    </row>
    <row r="218" spans="20:32" x14ac:dyDescent="0.2">
      <c r="T218" s="12" t="s">
        <v>300</v>
      </c>
    </row>
    <row r="219" spans="20:32" x14ac:dyDescent="0.2">
      <c r="T219" s="40" t="s">
        <v>356</v>
      </c>
      <c r="U219" s="99">
        <v>0</v>
      </c>
      <c r="V219" s="99">
        <v>0</v>
      </c>
      <c r="W219" s="99">
        <v>0</v>
      </c>
      <c r="X219" s="99">
        <v>0</v>
      </c>
      <c r="Y219" s="99">
        <v>0</v>
      </c>
      <c r="Z219" s="99">
        <v>0</v>
      </c>
      <c r="AA219" s="99">
        <v>0</v>
      </c>
      <c r="AB219" s="99">
        <v>0</v>
      </c>
      <c r="AC219" s="99">
        <v>0</v>
      </c>
      <c r="AD219" s="99">
        <v>0</v>
      </c>
      <c r="AE219" s="99">
        <v>0</v>
      </c>
      <c r="AF219" s="63">
        <v>0</v>
      </c>
    </row>
    <row r="220" spans="20:32" x14ac:dyDescent="0.2">
      <c r="T220" s="40" t="s">
        <v>310</v>
      </c>
      <c r="U220" s="99">
        <v>0</v>
      </c>
      <c r="V220" s="99">
        <v>0</v>
      </c>
      <c r="W220" s="99">
        <v>0</v>
      </c>
      <c r="X220" s="99">
        <v>0</v>
      </c>
      <c r="Y220" s="99">
        <v>0</v>
      </c>
      <c r="Z220" s="99">
        <v>0</v>
      </c>
      <c r="AA220" s="99">
        <v>0</v>
      </c>
      <c r="AB220" s="99">
        <v>0</v>
      </c>
      <c r="AC220" s="99">
        <v>0</v>
      </c>
      <c r="AD220" s="99">
        <v>0</v>
      </c>
      <c r="AE220" s="99">
        <v>0</v>
      </c>
      <c r="AF220" s="63">
        <v>0</v>
      </c>
    </row>
    <row r="221" spans="20:32" x14ac:dyDescent="0.2">
      <c r="T221" s="41" t="s">
        <v>311</v>
      </c>
      <c r="U221" s="99">
        <v>0</v>
      </c>
      <c r="V221" s="99">
        <v>0</v>
      </c>
      <c r="W221" s="99">
        <v>0</v>
      </c>
      <c r="X221" s="99">
        <v>0</v>
      </c>
      <c r="Y221" s="99">
        <v>0</v>
      </c>
      <c r="Z221" s="99">
        <v>0</v>
      </c>
      <c r="AA221" s="99">
        <v>0</v>
      </c>
      <c r="AB221" s="99">
        <v>0</v>
      </c>
      <c r="AC221" s="99">
        <v>0</v>
      </c>
      <c r="AD221" s="99">
        <v>0</v>
      </c>
      <c r="AE221" s="99">
        <v>0</v>
      </c>
      <c r="AF221" s="63">
        <v>0</v>
      </c>
    </row>
    <row r="222" spans="20:32" x14ac:dyDescent="0.2">
      <c r="T222" s="41" t="s">
        <v>434</v>
      </c>
      <c r="U222" s="99">
        <v>0</v>
      </c>
      <c r="V222" s="99">
        <v>0</v>
      </c>
      <c r="W222" s="99">
        <v>0</v>
      </c>
      <c r="X222" s="99">
        <v>0</v>
      </c>
      <c r="Y222" s="99">
        <v>0</v>
      </c>
      <c r="Z222" s="99">
        <v>0</v>
      </c>
      <c r="AA222" s="99">
        <v>0</v>
      </c>
      <c r="AB222" s="99">
        <v>0</v>
      </c>
      <c r="AC222" s="99">
        <v>0</v>
      </c>
      <c r="AD222" s="99">
        <v>0</v>
      </c>
      <c r="AE222" s="99">
        <v>0</v>
      </c>
      <c r="AF222" s="63">
        <v>0</v>
      </c>
    </row>
    <row r="223" spans="20:32" x14ac:dyDescent="0.2">
      <c r="T223" s="40" t="s">
        <v>330</v>
      </c>
      <c r="U223" s="99">
        <v>0</v>
      </c>
      <c r="V223" s="99">
        <v>0</v>
      </c>
      <c r="W223" s="99">
        <v>0</v>
      </c>
      <c r="X223" s="99">
        <v>0</v>
      </c>
      <c r="Y223" s="99">
        <v>0</v>
      </c>
      <c r="Z223" s="99">
        <v>0</v>
      </c>
      <c r="AA223" s="99">
        <v>0</v>
      </c>
      <c r="AB223" s="99">
        <v>0</v>
      </c>
      <c r="AC223" s="99">
        <v>0</v>
      </c>
      <c r="AD223" s="99">
        <v>0</v>
      </c>
      <c r="AE223" s="99">
        <v>0</v>
      </c>
      <c r="AF223" s="63">
        <v>0</v>
      </c>
    </row>
    <row r="224" spans="20:32" x14ac:dyDescent="0.2">
      <c r="T224" s="40" t="s">
        <v>349</v>
      </c>
      <c r="U224" s="99">
        <v>0</v>
      </c>
      <c r="V224" s="99">
        <v>0</v>
      </c>
      <c r="W224" s="99">
        <v>0</v>
      </c>
      <c r="X224" s="99">
        <v>0</v>
      </c>
      <c r="Y224" s="99">
        <v>0</v>
      </c>
      <c r="Z224" s="99">
        <v>0</v>
      </c>
      <c r="AA224" s="99">
        <v>0</v>
      </c>
      <c r="AB224" s="99">
        <v>0</v>
      </c>
      <c r="AC224" s="99">
        <v>0</v>
      </c>
      <c r="AD224" s="99">
        <v>0</v>
      </c>
      <c r="AE224" s="99">
        <v>0</v>
      </c>
      <c r="AF224" s="63">
        <v>0</v>
      </c>
    </row>
    <row r="225" spans="20:32" x14ac:dyDescent="0.2">
      <c r="T225" s="40" t="s">
        <v>362</v>
      </c>
      <c r="U225" s="99">
        <v>0</v>
      </c>
      <c r="V225" s="99">
        <v>0</v>
      </c>
      <c r="W225" s="99">
        <v>0</v>
      </c>
      <c r="X225" s="99">
        <v>0</v>
      </c>
      <c r="Y225" s="99">
        <v>0</v>
      </c>
      <c r="Z225" s="99">
        <v>0</v>
      </c>
      <c r="AA225" s="99">
        <v>0</v>
      </c>
      <c r="AB225" s="99">
        <v>0</v>
      </c>
      <c r="AC225" s="99">
        <v>0</v>
      </c>
      <c r="AD225" s="99">
        <v>0</v>
      </c>
      <c r="AE225" s="99">
        <v>0</v>
      </c>
      <c r="AF225" s="63">
        <v>0</v>
      </c>
    </row>
    <row r="226" spans="20:32" x14ac:dyDescent="0.2">
      <c r="T226" s="41" t="s">
        <v>55</v>
      </c>
      <c r="U226" s="63">
        <v>0</v>
      </c>
      <c r="V226" s="63">
        <v>0</v>
      </c>
      <c r="W226" s="63">
        <v>0</v>
      </c>
      <c r="X226" s="63">
        <v>0</v>
      </c>
      <c r="Y226" s="63">
        <v>0</v>
      </c>
      <c r="Z226" s="63">
        <v>0</v>
      </c>
      <c r="AA226" s="63">
        <v>0</v>
      </c>
      <c r="AB226" s="63">
        <v>0</v>
      </c>
      <c r="AC226" s="63">
        <v>0</v>
      </c>
      <c r="AD226" s="63">
        <v>0</v>
      </c>
      <c r="AE226" s="63">
        <v>0</v>
      </c>
      <c r="AF226" s="63">
        <v>0</v>
      </c>
    </row>
  </sheetData>
  <mergeCells count="148">
    <mergeCell ref="A1:B1"/>
    <mergeCell ref="F1:Q1"/>
    <mergeCell ref="F9:Q9"/>
    <mergeCell ref="F13:Q13"/>
    <mergeCell ref="F15:Q15"/>
    <mergeCell ref="A16:C16"/>
    <mergeCell ref="A20:B20"/>
    <mergeCell ref="G20:H20"/>
    <mergeCell ref="I20:J20"/>
    <mergeCell ref="A21:B21"/>
    <mergeCell ref="F21:J21"/>
    <mergeCell ref="A22:B22"/>
    <mergeCell ref="G22:H22"/>
    <mergeCell ref="I22:J22"/>
    <mergeCell ref="A17:C17"/>
    <mergeCell ref="A18:B18"/>
    <mergeCell ref="F18:J18"/>
    <mergeCell ref="A19:B19"/>
    <mergeCell ref="G19:H19"/>
    <mergeCell ref="I19:J19"/>
    <mergeCell ref="A25:B25"/>
    <mergeCell ref="G25:H25"/>
    <mergeCell ref="I25:J25"/>
    <mergeCell ref="A26:B26"/>
    <mergeCell ref="F26:J26"/>
    <mergeCell ref="A27:B27"/>
    <mergeCell ref="G27:H27"/>
    <mergeCell ref="I27:J27"/>
    <mergeCell ref="A23:B23"/>
    <mergeCell ref="G23:H23"/>
    <mergeCell ref="I23:J23"/>
    <mergeCell ref="A24:B24"/>
    <mergeCell ref="G24:H24"/>
    <mergeCell ref="I24:J24"/>
    <mergeCell ref="A30:B30"/>
    <mergeCell ref="G30:H30"/>
    <mergeCell ref="I30:J30"/>
    <mergeCell ref="A31:B31"/>
    <mergeCell ref="G31:H31"/>
    <mergeCell ref="I31:J31"/>
    <mergeCell ref="A28:B28"/>
    <mergeCell ref="G28:H28"/>
    <mergeCell ref="I28:J28"/>
    <mergeCell ref="A29:B29"/>
    <mergeCell ref="G29:H29"/>
    <mergeCell ref="I29:J29"/>
    <mergeCell ref="A35:B35"/>
    <mergeCell ref="G35:H35"/>
    <mergeCell ref="I35:J35"/>
    <mergeCell ref="A36:B36"/>
    <mergeCell ref="G36:H36"/>
    <mergeCell ref="I36:J36"/>
    <mergeCell ref="A32:B32"/>
    <mergeCell ref="F32:J32"/>
    <mergeCell ref="A33:B33"/>
    <mergeCell ref="G33:H33"/>
    <mergeCell ref="I33:J33"/>
    <mergeCell ref="A34:B34"/>
    <mergeCell ref="G34:H34"/>
    <mergeCell ref="I34:J34"/>
    <mergeCell ref="A40:B40"/>
    <mergeCell ref="G40:H40"/>
    <mergeCell ref="I40:J40"/>
    <mergeCell ref="F41:J41"/>
    <mergeCell ref="A42:B42"/>
    <mergeCell ref="G42:H42"/>
    <mergeCell ref="I42:J42"/>
    <mergeCell ref="A37:B37"/>
    <mergeCell ref="F37:J37"/>
    <mergeCell ref="A38:B38"/>
    <mergeCell ref="G38:H38"/>
    <mergeCell ref="I38:J38"/>
    <mergeCell ref="A39:B39"/>
    <mergeCell ref="G39:H39"/>
    <mergeCell ref="I39:J39"/>
    <mergeCell ref="A45:B45"/>
    <mergeCell ref="G45:H45"/>
    <mergeCell ref="I45:J45"/>
    <mergeCell ref="A46:B46"/>
    <mergeCell ref="G46:H46"/>
    <mergeCell ref="I46:J46"/>
    <mergeCell ref="A43:B43"/>
    <mergeCell ref="G43:H43"/>
    <mergeCell ref="I43:J43"/>
    <mergeCell ref="A44:B44"/>
    <mergeCell ref="G44:H44"/>
    <mergeCell ref="I44:J44"/>
    <mergeCell ref="A50:B50"/>
    <mergeCell ref="G50:H50"/>
    <mergeCell ref="I50:J50"/>
    <mergeCell ref="A51:B51"/>
    <mergeCell ref="G51:H51"/>
    <mergeCell ref="I51:J51"/>
    <mergeCell ref="A47:B47"/>
    <mergeCell ref="G47:H47"/>
    <mergeCell ref="I47:J47"/>
    <mergeCell ref="G48:H48"/>
    <mergeCell ref="I48:J48"/>
    <mergeCell ref="A49:B49"/>
    <mergeCell ref="G49:H49"/>
    <mergeCell ref="I49:J49"/>
    <mergeCell ref="A54:B54"/>
    <mergeCell ref="G54:H54"/>
    <mergeCell ref="I54:J54"/>
    <mergeCell ref="A55:C55"/>
    <mergeCell ref="G55:H55"/>
    <mergeCell ref="I55:J55"/>
    <mergeCell ref="A52:B52"/>
    <mergeCell ref="G52:H52"/>
    <mergeCell ref="I52:J52"/>
    <mergeCell ref="A53:B53"/>
    <mergeCell ref="G53:H53"/>
    <mergeCell ref="I53:J53"/>
    <mergeCell ref="P60:Q60"/>
    <mergeCell ref="G61:H61"/>
    <mergeCell ref="I61:J61"/>
    <mergeCell ref="R55:S55"/>
    <mergeCell ref="G56:H56"/>
    <mergeCell ref="I56:J56"/>
    <mergeCell ref="G57:H57"/>
    <mergeCell ref="I57:J57"/>
    <mergeCell ref="G58:H58"/>
    <mergeCell ref="I58:J58"/>
    <mergeCell ref="A62:D62"/>
    <mergeCell ref="G62:H62"/>
    <mergeCell ref="I62:J62"/>
    <mergeCell ref="G63:H63"/>
    <mergeCell ref="I63:J63"/>
    <mergeCell ref="G64:H64"/>
    <mergeCell ref="I64:J64"/>
    <mergeCell ref="G59:H59"/>
    <mergeCell ref="I59:J59"/>
    <mergeCell ref="G60:H60"/>
    <mergeCell ref="I60:J60"/>
    <mergeCell ref="T169:W169"/>
    <mergeCell ref="T179:V179"/>
    <mergeCell ref="G68:H68"/>
    <mergeCell ref="I68:J68"/>
    <mergeCell ref="A73:C73"/>
    <mergeCell ref="A78:C78"/>
    <mergeCell ref="A84:B84"/>
    <mergeCell ref="T79:AE79"/>
    <mergeCell ref="G65:H65"/>
    <mergeCell ref="I65:J65"/>
    <mergeCell ref="G66:H66"/>
    <mergeCell ref="I66:J66"/>
    <mergeCell ref="G67:H67"/>
    <mergeCell ref="I67:J6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6">
    <tabColor rgb="FF92D050"/>
    <pageSetUpPr fitToPage="1"/>
  </sheetPr>
  <dimension ref="A1:AD50"/>
  <sheetViews>
    <sheetView topLeftCell="A7" zoomScale="80" zoomScaleNormal="80" zoomScaleSheetLayoutView="40" workbookViewId="0">
      <selection activeCell="C50" sqref="C50"/>
    </sheetView>
  </sheetViews>
  <sheetFormatPr defaultRowHeight="12.75" x14ac:dyDescent="0.2"/>
  <cols>
    <col min="1" max="1" width="3" customWidth="1"/>
    <col min="2" max="2" width="33.85546875" bestFit="1" customWidth="1"/>
    <col min="3" max="3" width="13" bestFit="1" customWidth="1"/>
    <col min="4" max="19" width="7.140625" bestFit="1" customWidth="1"/>
    <col min="20" max="29" width="7.140625" style="7" bestFit="1" customWidth="1"/>
    <col min="30" max="30" width="34.42578125" style="7" bestFit="1" customWidth="1"/>
  </cols>
  <sheetData>
    <row r="1" spans="1:30" x14ac:dyDescent="0.2">
      <c r="B1" s="12" t="s">
        <v>357</v>
      </c>
    </row>
    <row r="3" spans="1:30" ht="18" x14ac:dyDescent="0.25">
      <c r="A3" s="2" t="s">
        <v>0</v>
      </c>
      <c r="L3" s="3"/>
      <c r="M3" s="3"/>
      <c r="N3" s="3"/>
      <c r="O3" s="3"/>
      <c r="P3" s="3"/>
      <c r="Q3" s="3"/>
      <c r="R3" s="3"/>
      <c r="S3" s="3"/>
      <c r="T3" s="10"/>
      <c r="V3" s="10"/>
      <c r="W3" s="10"/>
      <c r="X3" s="10"/>
      <c r="Y3" s="10"/>
      <c r="AA3" s="10"/>
      <c r="AB3" s="10"/>
      <c r="AC3" s="10"/>
      <c r="AD3" s="10" t="s">
        <v>30</v>
      </c>
    </row>
    <row r="5" spans="1:30" ht="15.75" x14ac:dyDescent="0.25">
      <c r="A5" s="4" t="s">
        <v>21</v>
      </c>
      <c r="F5" s="3"/>
      <c r="L5" s="3"/>
      <c r="M5" s="3"/>
      <c r="N5" s="3"/>
      <c r="O5" s="3"/>
    </row>
    <row r="6" spans="1:30" ht="15.75" x14ac:dyDescent="0.25">
      <c r="A6" s="4" t="s">
        <v>1</v>
      </c>
      <c r="B6" s="1"/>
      <c r="C6" s="1"/>
      <c r="D6" s="1"/>
      <c r="E6" s="1"/>
      <c r="F6" s="1"/>
      <c r="G6" s="1"/>
      <c r="H6" s="5"/>
      <c r="I6" s="5"/>
      <c r="J6" s="5"/>
      <c r="K6" s="5"/>
      <c r="L6" s="6"/>
      <c r="M6" s="6"/>
      <c r="N6" s="6"/>
      <c r="O6" s="6"/>
    </row>
    <row r="8" spans="1:30" ht="12.75" customHeight="1" x14ac:dyDescent="0.25">
      <c r="C8" s="5"/>
      <c r="D8" s="5"/>
      <c r="E8" s="6"/>
      <c r="F8" s="6"/>
      <c r="H8" s="7"/>
      <c r="I8" s="7"/>
      <c r="J8" s="7"/>
      <c r="K8" s="7"/>
      <c r="L8" s="6"/>
    </row>
    <row r="9" spans="1:30" x14ac:dyDescent="0.2">
      <c r="C9" s="23">
        <v>1990</v>
      </c>
      <c r="D9" s="23">
        <v>1991</v>
      </c>
      <c r="E9" s="23">
        <v>1992</v>
      </c>
      <c r="F9" s="23">
        <v>1993</v>
      </c>
      <c r="G9" s="23">
        <v>1994</v>
      </c>
      <c r="H9" s="23">
        <v>1995</v>
      </c>
      <c r="I9" s="23">
        <v>1996</v>
      </c>
      <c r="J9" s="23">
        <v>1997</v>
      </c>
      <c r="K9" s="23">
        <v>1998</v>
      </c>
      <c r="L9" s="23">
        <v>1999</v>
      </c>
      <c r="M9" s="23">
        <v>2000</v>
      </c>
      <c r="N9" s="23">
        <v>2001</v>
      </c>
      <c r="O9" s="23">
        <v>2002</v>
      </c>
      <c r="P9" s="23">
        <v>2003</v>
      </c>
      <c r="Q9" s="23">
        <v>2004</v>
      </c>
      <c r="R9" s="23">
        <v>2005</v>
      </c>
      <c r="S9" s="23">
        <v>2006</v>
      </c>
      <c r="T9" s="29">
        <v>2007</v>
      </c>
      <c r="U9" s="29">
        <v>2008</v>
      </c>
      <c r="V9" s="29">
        <v>2009</v>
      </c>
      <c r="W9" s="29">
        <v>2010</v>
      </c>
      <c r="X9" s="29">
        <v>2011</v>
      </c>
      <c r="Y9" s="29">
        <v>2012</v>
      </c>
      <c r="Z9" s="29">
        <v>2013</v>
      </c>
      <c r="AA9" s="29">
        <v>2014</v>
      </c>
      <c r="AB9" s="29">
        <v>2015</v>
      </c>
      <c r="AC9" s="29">
        <v>2016</v>
      </c>
      <c r="AD9" s="29">
        <v>2017</v>
      </c>
    </row>
    <row r="10" spans="1:30" x14ac:dyDescent="0.2">
      <c r="A10" s="18"/>
    </row>
    <row r="11" spans="1:30" x14ac:dyDescent="0.2">
      <c r="B11" s="14" t="s">
        <v>11</v>
      </c>
    </row>
    <row r="12" spans="1:30" x14ac:dyDescent="0.2">
      <c r="B12" s="21" t="s">
        <v>2</v>
      </c>
      <c r="C12" s="28">
        <v>44.682000000000002</v>
      </c>
      <c r="D12" s="28">
        <v>44.241999999999997</v>
      </c>
      <c r="E12" s="28">
        <v>47.905999999999999</v>
      </c>
      <c r="F12" s="28">
        <v>46.643999999999998</v>
      </c>
      <c r="G12" s="28">
        <v>47.323</v>
      </c>
      <c r="H12" s="28">
        <v>48.798000000000002</v>
      </c>
      <c r="I12" s="28">
        <v>49.259</v>
      </c>
      <c r="J12" s="28">
        <v>47.024000000000001</v>
      </c>
      <c r="K12" s="28">
        <v>46.378</v>
      </c>
      <c r="L12" s="28">
        <v>44.720999999999997</v>
      </c>
      <c r="M12" s="28">
        <v>46.970999999999997</v>
      </c>
      <c r="N12" s="28">
        <v>43.021999999999998</v>
      </c>
      <c r="O12" s="28">
        <v>46.277999999999999</v>
      </c>
      <c r="P12" s="28">
        <v>47.548999999999999</v>
      </c>
      <c r="Q12" s="28">
        <v>46.886000000000003</v>
      </c>
      <c r="R12" s="28">
        <v>46.923999999999999</v>
      </c>
      <c r="S12" s="28">
        <v>49.215000000000003</v>
      </c>
      <c r="T12" s="31">
        <v>47.97</v>
      </c>
      <c r="U12" s="31">
        <v>48.448</v>
      </c>
      <c r="V12" s="31">
        <v>49.47</v>
      </c>
      <c r="W12" s="31">
        <v>50.036999999999999</v>
      </c>
      <c r="X12" s="31">
        <v>49.826000000000001</v>
      </c>
      <c r="Y12" s="31">
        <v>49.695999999999998</v>
      </c>
      <c r="Z12" s="31">
        <v>50.067999999999998</v>
      </c>
      <c r="AA12" s="31">
        <v>53.231000000000002</v>
      </c>
      <c r="AB12" s="31">
        <v>50.465000000000003</v>
      </c>
      <c r="AC12" s="31">
        <v>50.78</v>
      </c>
      <c r="AD12" s="31">
        <v>50.396000000000001</v>
      </c>
    </row>
    <row r="13" spans="1:30" x14ac:dyDescent="0.2">
      <c r="B13" s="21" t="s">
        <v>10</v>
      </c>
      <c r="C13" s="28">
        <v>25.699000000000002</v>
      </c>
      <c r="D13" s="28">
        <v>25.704999999999998</v>
      </c>
      <c r="E13" s="28">
        <v>22.189</v>
      </c>
      <c r="F13" s="28">
        <v>23.067</v>
      </c>
      <c r="G13" s="28">
        <v>23.542999999999999</v>
      </c>
      <c r="H13" s="28">
        <v>21.690999999999999</v>
      </c>
      <c r="I13" s="28">
        <v>20.515000000000001</v>
      </c>
      <c r="J13" s="28">
        <v>22.239000000000001</v>
      </c>
      <c r="K13" s="28">
        <v>21.372</v>
      </c>
      <c r="L13" s="28">
        <v>21.856999999999999</v>
      </c>
      <c r="M13" s="28">
        <v>23.425000000000001</v>
      </c>
      <c r="N13" s="28">
        <v>23.218</v>
      </c>
      <c r="O13" s="28">
        <v>24.792999999999999</v>
      </c>
      <c r="P13" s="28">
        <v>24.105</v>
      </c>
      <c r="Q13" s="28">
        <v>23.504999999999999</v>
      </c>
      <c r="R13" s="28">
        <v>24.016999999999999</v>
      </c>
      <c r="S13" s="28">
        <v>22.989000000000001</v>
      </c>
      <c r="T13" s="31">
        <v>25.876999999999999</v>
      </c>
      <c r="U13" s="31">
        <v>27.065999999999999</v>
      </c>
      <c r="V13" s="31">
        <v>28.074999999999999</v>
      </c>
      <c r="W13" s="31">
        <v>28.2</v>
      </c>
      <c r="X13" s="31">
        <v>28.788</v>
      </c>
      <c r="Y13" s="31">
        <v>29.454000000000001</v>
      </c>
      <c r="Z13" s="31">
        <v>29.018999999999998</v>
      </c>
      <c r="AA13" s="31">
        <v>28.213999999999999</v>
      </c>
      <c r="AB13" s="31">
        <v>30.954999999999998</v>
      </c>
      <c r="AC13" s="31">
        <v>29.097999999999999</v>
      </c>
      <c r="AD13" s="31">
        <v>29.196000000000002</v>
      </c>
    </row>
    <row r="14" spans="1:30" x14ac:dyDescent="0.2">
      <c r="B14" s="21" t="s">
        <v>3</v>
      </c>
      <c r="C14" s="28">
        <v>6.5810000000000004</v>
      </c>
      <c r="D14" s="28">
        <v>7.26</v>
      </c>
      <c r="E14" s="28">
        <v>7.3819999999999997</v>
      </c>
      <c r="F14" s="28">
        <v>7.8129999999999997</v>
      </c>
      <c r="G14" s="28">
        <v>7.2690000000000001</v>
      </c>
      <c r="H14" s="28">
        <v>6.8479999999999999</v>
      </c>
      <c r="I14" s="28">
        <v>7.3819999999999997</v>
      </c>
      <c r="J14" s="28">
        <v>7.9969999999999999</v>
      </c>
      <c r="K14" s="28">
        <v>7.4660000000000002</v>
      </c>
      <c r="L14" s="28">
        <v>6.5970000000000004</v>
      </c>
      <c r="M14" s="28">
        <v>6.944</v>
      </c>
      <c r="N14" s="28">
        <v>7.84</v>
      </c>
      <c r="O14" s="28">
        <v>8.2899999999999991</v>
      </c>
      <c r="P14" s="28">
        <v>8.2880000000000003</v>
      </c>
      <c r="Q14" s="28">
        <v>7.4450000000000003</v>
      </c>
      <c r="R14" s="28">
        <v>8.0150000000000006</v>
      </c>
      <c r="S14" s="28">
        <v>8.2390000000000008</v>
      </c>
      <c r="T14" s="31">
        <v>8.7309999999999999</v>
      </c>
      <c r="U14" s="31">
        <v>8.6419999999999995</v>
      </c>
      <c r="V14" s="31">
        <v>8.0259999999999998</v>
      </c>
      <c r="W14" s="31">
        <v>8.0879999999999992</v>
      </c>
      <c r="X14" s="31">
        <v>7.9770000000000003</v>
      </c>
      <c r="Y14" s="31">
        <v>8.2370000000000001</v>
      </c>
      <c r="Z14" s="31">
        <v>9.7910000000000004</v>
      </c>
      <c r="AA14" s="31">
        <v>9.2070000000000007</v>
      </c>
      <c r="AB14" s="31">
        <v>9.1319999999999997</v>
      </c>
      <c r="AC14" s="31">
        <v>10.760999999999999</v>
      </c>
      <c r="AD14" s="31">
        <v>11.334</v>
      </c>
    </row>
    <row r="15" spans="1:30" x14ac:dyDescent="0.2">
      <c r="B15" s="11"/>
      <c r="C15" s="16"/>
      <c r="D15" s="16"/>
      <c r="E15" s="16"/>
      <c r="F15" s="16"/>
      <c r="G15" s="16"/>
      <c r="H15" s="16"/>
      <c r="I15" s="16"/>
      <c r="J15" s="16"/>
      <c r="K15" s="16"/>
      <c r="L15" s="16"/>
      <c r="M15" s="16"/>
      <c r="N15" s="16"/>
      <c r="O15" s="16"/>
      <c r="P15" s="16"/>
      <c r="Q15" s="16"/>
      <c r="R15" s="16"/>
      <c r="S15" s="16"/>
      <c r="T15" s="26"/>
      <c r="U15" s="26"/>
      <c r="V15" s="26"/>
      <c r="W15" s="26"/>
      <c r="X15" s="26"/>
      <c r="Y15" s="26"/>
      <c r="Z15" s="26"/>
      <c r="AA15" s="26"/>
      <c r="AB15" s="26"/>
      <c r="AC15" s="26"/>
      <c r="AD15" s="26"/>
    </row>
    <row r="16" spans="1:30" x14ac:dyDescent="0.2">
      <c r="B16" s="14" t="s">
        <v>38</v>
      </c>
      <c r="C16" s="16"/>
      <c r="D16" s="16"/>
      <c r="E16" s="16"/>
      <c r="F16" s="16"/>
      <c r="G16" s="16"/>
      <c r="H16" s="16"/>
      <c r="I16" s="16"/>
      <c r="J16" s="16"/>
      <c r="K16" s="16"/>
      <c r="L16" s="16"/>
      <c r="M16" s="16"/>
      <c r="N16" s="16"/>
      <c r="O16" s="16"/>
      <c r="P16" s="16"/>
      <c r="Q16" s="16"/>
      <c r="R16" s="16"/>
      <c r="S16" s="16"/>
      <c r="T16" s="26"/>
      <c r="U16" s="26"/>
      <c r="V16" s="26"/>
      <c r="W16" s="26"/>
      <c r="X16" s="26"/>
      <c r="Y16" s="26"/>
      <c r="Z16" s="26"/>
      <c r="AA16" s="26"/>
      <c r="AB16" s="26"/>
      <c r="AC16" s="26"/>
      <c r="AD16" s="26"/>
    </row>
    <row r="17" spans="2:30" x14ac:dyDescent="0.2">
      <c r="B17" s="21" t="s">
        <v>2</v>
      </c>
      <c r="C17" s="16">
        <v>58.057223999999998</v>
      </c>
      <c r="D17" s="16">
        <v>57.303092999999997</v>
      </c>
      <c r="E17" s="16">
        <v>61.832541999999997</v>
      </c>
      <c r="F17" s="16">
        <v>60.167175</v>
      </c>
      <c r="G17" s="16">
        <v>60.565685000000002</v>
      </c>
      <c r="H17" s="16">
        <v>63.09787</v>
      </c>
      <c r="I17" s="16">
        <v>63.843380000000003</v>
      </c>
      <c r="J17" s="16">
        <v>60.864609000000002</v>
      </c>
      <c r="K17" s="16">
        <v>61.659751999999997</v>
      </c>
      <c r="L17" s="16">
        <v>61.115135000000002</v>
      </c>
      <c r="M17" s="16">
        <v>60.733128000000001</v>
      </c>
      <c r="N17" s="16">
        <v>58.075054000000002</v>
      </c>
      <c r="O17" s="16">
        <v>58.313282000000001</v>
      </c>
      <c r="P17" s="16">
        <v>59.479374</v>
      </c>
      <c r="Q17" s="16">
        <v>60.236908</v>
      </c>
      <c r="R17" s="16">
        <v>59.430568999999998</v>
      </c>
      <c r="S17" s="16">
        <v>61.179966</v>
      </c>
      <c r="T17" s="26">
        <v>58.090530000000001</v>
      </c>
      <c r="U17" s="26">
        <v>57.569279000000002</v>
      </c>
      <c r="V17" s="26">
        <v>57.811641999999999</v>
      </c>
      <c r="W17" s="26">
        <v>57.963509000000002</v>
      </c>
      <c r="X17" s="26">
        <v>57.541775000000001</v>
      </c>
      <c r="Y17" s="26">
        <v>56.868870000000001</v>
      </c>
      <c r="Z17" s="26">
        <v>56.333396999999998</v>
      </c>
      <c r="AA17" s="26">
        <v>58.720160999999997</v>
      </c>
      <c r="AB17" s="26">
        <v>55.730407999999997</v>
      </c>
      <c r="AC17" s="26">
        <v>56.024448</v>
      </c>
      <c r="AD17" s="26">
        <v>55.425293000000003</v>
      </c>
    </row>
    <row r="18" spans="2:30" x14ac:dyDescent="0.2">
      <c r="B18" s="21" t="s">
        <v>10</v>
      </c>
      <c r="C18" s="16">
        <v>33.391804</v>
      </c>
      <c r="D18" s="16">
        <v>33.293613000000001</v>
      </c>
      <c r="E18" s="16">
        <v>28.639468999999998</v>
      </c>
      <c r="F18" s="16">
        <v>29.754656000000001</v>
      </c>
      <c r="G18" s="16">
        <v>30.131181999999999</v>
      </c>
      <c r="H18" s="16">
        <v>28.047377000000001</v>
      </c>
      <c r="I18" s="16">
        <v>26.588989000000002</v>
      </c>
      <c r="J18" s="16">
        <v>28.784624000000001</v>
      </c>
      <c r="K18" s="16">
        <v>28.414169000000001</v>
      </c>
      <c r="L18" s="16">
        <v>29.869492000000001</v>
      </c>
      <c r="M18" s="16">
        <v>30.288336000000001</v>
      </c>
      <c r="N18" s="16">
        <v>31.341795000000001</v>
      </c>
      <c r="O18" s="16">
        <v>31.240786</v>
      </c>
      <c r="P18" s="16">
        <v>30.153110999999999</v>
      </c>
      <c r="Q18" s="16">
        <v>30.198107</v>
      </c>
      <c r="R18" s="16">
        <v>30.418209000000001</v>
      </c>
      <c r="S18" s="16">
        <v>28.577998999999998</v>
      </c>
      <c r="T18" s="26">
        <v>31.336433</v>
      </c>
      <c r="U18" s="26">
        <v>32.161696999999997</v>
      </c>
      <c r="V18" s="26">
        <v>32.809013</v>
      </c>
      <c r="W18" s="26">
        <v>32.667248000000001</v>
      </c>
      <c r="X18" s="26">
        <v>33.245949000000003</v>
      </c>
      <c r="Y18" s="26">
        <v>33.705241999999998</v>
      </c>
      <c r="Z18" s="26">
        <v>32.650371999999997</v>
      </c>
      <c r="AA18" s="26">
        <v>31.123417</v>
      </c>
      <c r="AB18" s="26">
        <v>34.184775999999999</v>
      </c>
      <c r="AC18" s="26">
        <v>32.103175999999998</v>
      </c>
      <c r="AD18" s="26">
        <v>32.109627000000003</v>
      </c>
    </row>
    <row r="19" spans="2:30" x14ac:dyDescent="0.2">
      <c r="B19" s="21" t="s">
        <v>3</v>
      </c>
      <c r="C19" s="16">
        <v>8.5509730000000008</v>
      </c>
      <c r="D19" s="16">
        <v>9.4032929999999997</v>
      </c>
      <c r="E19" s="16">
        <v>9.5279889999999998</v>
      </c>
      <c r="F19" s="16">
        <v>10.07817</v>
      </c>
      <c r="G19" s="16">
        <v>9.3031290000000002</v>
      </c>
      <c r="H19" s="16">
        <v>8.8547530000000005</v>
      </c>
      <c r="I19" s="16">
        <v>9.5676299999999994</v>
      </c>
      <c r="J19" s="16">
        <v>10.350763000000001</v>
      </c>
      <c r="K19" s="16">
        <v>9.9260800000000007</v>
      </c>
      <c r="L19" s="16">
        <v>9.0153739999999996</v>
      </c>
      <c r="M19" s="16">
        <v>8.9785360000000001</v>
      </c>
      <c r="N19" s="16">
        <v>10.583154</v>
      </c>
      <c r="O19" s="16">
        <v>10.445937000000001</v>
      </c>
      <c r="P19" s="16">
        <v>10.367516999999999</v>
      </c>
      <c r="Q19" s="16">
        <v>9.5649829999999998</v>
      </c>
      <c r="R19" s="16">
        <v>10.151223999999999</v>
      </c>
      <c r="S19" s="16">
        <v>10.242035</v>
      </c>
      <c r="T19" s="26">
        <v>10.573034</v>
      </c>
      <c r="U19" s="26">
        <v>10.269024</v>
      </c>
      <c r="V19" s="26">
        <v>9.379346</v>
      </c>
      <c r="W19" s="26">
        <v>9.3692449999999994</v>
      </c>
      <c r="X19" s="26">
        <v>9.212275</v>
      </c>
      <c r="Y19" s="26">
        <v>9.4258869999999995</v>
      </c>
      <c r="Z19" s="26">
        <v>11.016225</v>
      </c>
      <c r="AA19" s="26">
        <v>10.156421999999999</v>
      </c>
      <c r="AB19" s="26">
        <v>10.084813</v>
      </c>
      <c r="AC19" s="26">
        <v>11.872373</v>
      </c>
      <c r="AD19" s="26">
        <v>12.465081</v>
      </c>
    </row>
    <row r="20" spans="2:30" x14ac:dyDescent="0.2">
      <c r="B20" s="11"/>
    </row>
    <row r="21" spans="2:30" ht="25.5" x14ac:dyDescent="0.2">
      <c r="B21" s="15" t="s">
        <v>20</v>
      </c>
    </row>
    <row r="22" spans="2:30" x14ac:dyDescent="0.2">
      <c r="B22" s="21" t="s">
        <v>2</v>
      </c>
      <c r="C22" s="24">
        <v>19586.135831</v>
      </c>
      <c r="D22" s="24">
        <v>19301.390350999998</v>
      </c>
      <c r="E22" s="24">
        <v>20209.069129</v>
      </c>
      <c r="F22" s="24">
        <v>19024.333420999999</v>
      </c>
      <c r="G22" s="24">
        <v>17616.328626999999</v>
      </c>
      <c r="H22" s="24">
        <v>24388.585466</v>
      </c>
      <c r="I22" s="24">
        <v>20628.540125</v>
      </c>
      <c r="J22" s="24">
        <v>21931.876294000002</v>
      </c>
      <c r="K22" s="24">
        <v>23405.231639000001</v>
      </c>
      <c r="L22" s="24">
        <v>24567.430946</v>
      </c>
      <c r="M22" s="24">
        <v>26057.716649999998</v>
      </c>
      <c r="N22" s="24">
        <v>25200.961282</v>
      </c>
      <c r="O22" s="24">
        <v>26457.088593</v>
      </c>
      <c r="P22" s="24">
        <v>29611.467220999999</v>
      </c>
      <c r="Q22" s="24">
        <v>25022.650447</v>
      </c>
      <c r="R22" s="24">
        <v>27523.174436000001</v>
      </c>
      <c r="S22" s="24">
        <v>30917.529804999998</v>
      </c>
      <c r="T22" s="27">
        <v>26028.236927000002</v>
      </c>
      <c r="U22" s="27">
        <v>27017.628256</v>
      </c>
      <c r="V22" s="27">
        <v>30787.075203</v>
      </c>
      <c r="W22" s="27">
        <v>33241.419482999998</v>
      </c>
      <c r="X22" s="27">
        <v>33346.952914000001</v>
      </c>
      <c r="Y22" s="27">
        <v>31365.128346000001</v>
      </c>
      <c r="Z22" s="27">
        <v>29005.909530000001</v>
      </c>
      <c r="AA22" s="27">
        <v>24943.070733</v>
      </c>
      <c r="AB22" s="27">
        <v>25318.638039000001</v>
      </c>
      <c r="AC22" s="27">
        <v>26683.664024000002</v>
      </c>
      <c r="AD22" s="27">
        <v>27951.674283</v>
      </c>
    </row>
    <row r="23" spans="2:30" x14ac:dyDescent="0.2">
      <c r="B23" s="21" t="s">
        <v>10</v>
      </c>
      <c r="C23" s="24">
        <v>47873.577235999997</v>
      </c>
      <c r="D23" s="24">
        <v>48766.798043000003</v>
      </c>
      <c r="E23" s="24">
        <v>50729.249190000002</v>
      </c>
      <c r="F23" s="24">
        <v>48993.524422000002</v>
      </c>
      <c r="G23" s="24">
        <v>47120.600662999997</v>
      </c>
      <c r="H23" s="24">
        <v>55890.057631999996</v>
      </c>
      <c r="I23" s="24">
        <v>53246.595938999999</v>
      </c>
      <c r="J23" s="24">
        <v>58678.487948000002</v>
      </c>
      <c r="K23" s="24">
        <v>54536.939679000003</v>
      </c>
      <c r="L23" s="24">
        <v>56420.686669000002</v>
      </c>
      <c r="M23" s="24">
        <v>55666.295628</v>
      </c>
      <c r="N23" s="24">
        <v>60724.209166000001</v>
      </c>
      <c r="O23" s="24">
        <v>65998.035736000005</v>
      </c>
      <c r="P23" s="24">
        <v>69624.750767999998</v>
      </c>
      <c r="Q23" s="24">
        <v>69469.684049999996</v>
      </c>
      <c r="R23" s="24">
        <v>73703.77102</v>
      </c>
      <c r="S23" s="24">
        <v>77728.490781</v>
      </c>
      <c r="T23" s="27">
        <v>60284.595332999997</v>
      </c>
      <c r="U23" s="27">
        <v>61082.650315999999</v>
      </c>
      <c r="V23" s="27">
        <v>63423.080309999998</v>
      </c>
      <c r="W23" s="27">
        <v>68438.197973000002</v>
      </c>
      <c r="X23" s="27">
        <v>75219.616318</v>
      </c>
      <c r="Y23" s="27">
        <v>69003.933516999998</v>
      </c>
      <c r="Z23" s="27">
        <v>69421.965909000006</v>
      </c>
      <c r="AA23" s="27">
        <v>65667.863758000007</v>
      </c>
      <c r="AB23" s="27">
        <v>59492.585831999997</v>
      </c>
      <c r="AC23" s="27">
        <v>51626.038369000002</v>
      </c>
      <c r="AD23" s="27">
        <v>58818.681675</v>
      </c>
    </row>
    <row r="24" spans="2:30" x14ac:dyDescent="0.2">
      <c r="B24" s="21" t="s">
        <v>3</v>
      </c>
      <c r="C24" s="24">
        <v>71171.828890999997</v>
      </c>
      <c r="D24" s="24">
        <v>62362.348902999998</v>
      </c>
      <c r="E24" s="24">
        <v>59505.773288999997</v>
      </c>
      <c r="F24" s="24">
        <v>53931.617796999999</v>
      </c>
      <c r="G24" s="24">
        <v>59078.053408</v>
      </c>
      <c r="H24" s="24">
        <v>81107.917308000004</v>
      </c>
      <c r="I24" s="24">
        <v>63824.252484999997</v>
      </c>
      <c r="J24" s="24">
        <v>77050.256378000005</v>
      </c>
      <c r="K24" s="24">
        <v>73392.227140999996</v>
      </c>
      <c r="L24" s="24">
        <v>76574.712713000001</v>
      </c>
      <c r="M24" s="24">
        <v>76563.699439000004</v>
      </c>
      <c r="N24" s="24">
        <v>66474.049773000006</v>
      </c>
      <c r="O24" s="24">
        <v>76329.962515000007</v>
      </c>
      <c r="P24" s="24">
        <v>70615.882060000004</v>
      </c>
      <c r="Q24" s="24">
        <v>67178.918873999995</v>
      </c>
      <c r="R24" s="24">
        <v>70194.888183000003</v>
      </c>
      <c r="S24" s="24">
        <v>55560.052523999999</v>
      </c>
      <c r="T24" s="27">
        <v>61812.328808999999</v>
      </c>
      <c r="U24" s="27">
        <v>59130.802150000003</v>
      </c>
      <c r="V24" s="27">
        <v>57188.622590999999</v>
      </c>
      <c r="W24" s="27">
        <v>52626.753756999999</v>
      </c>
      <c r="X24" s="27">
        <v>57047.192846999998</v>
      </c>
      <c r="Y24" s="27">
        <v>48114.415636999998</v>
      </c>
      <c r="Z24" s="27">
        <v>49393.509764000002</v>
      </c>
      <c r="AA24" s="27">
        <v>43294.250566000002</v>
      </c>
      <c r="AB24" s="27">
        <v>41195.415722999998</v>
      </c>
      <c r="AC24" s="27">
        <v>32185.411848</v>
      </c>
      <c r="AD24" s="27">
        <v>33059.997499999998</v>
      </c>
    </row>
    <row r="26" spans="2:30" x14ac:dyDescent="0.2">
      <c r="B26" s="9"/>
    </row>
    <row r="27" spans="2:30" x14ac:dyDescent="0.2">
      <c r="B27" s="300" t="s">
        <v>370</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2:30" x14ac:dyDescent="0.2">
      <c r="B28" s="301" t="s">
        <v>371</v>
      </c>
      <c r="C28" s="24">
        <v>12918.182144</v>
      </c>
      <c r="D28" s="24">
        <v>13199.887225</v>
      </c>
      <c r="E28" s="24">
        <v>11852.897697</v>
      </c>
      <c r="F28" s="24">
        <v>11922.909774</v>
      </c>
      <c r="G28" s="24">
        <v>11803.593607000001</v>
      </c>
      <c r="H28" s="24">
        <v>13008.099606</v>
      </c>
      <c r="I28" s="24">
        <v>11819.269367999999</v>
      </c>
      <c r="J28" s="24">
        <v>14237.014247999999</v>
      </c>
      <c r="K28" s="24">
        <v>12832.853858</v>
      </c>
      <c r="L28" s="24">
        <v>13688.375129</v>
      </c>
      <c r="M28" s="24">
        <v>14591.569491</v>
      </c>
      <c r="N28" s="24">
        <v>15917.711031999999</v>
      </c>
      <c r="O28" s="24">
        <v>18637.335126999998</v>
      </c>
      <c r="P28" s="24">
        <v>19266.937006</v>
      </c>
      <c r="Q28" s="24">
        <v>18908.807414999999</v>
      </c>
      <c r="R28" s="24">
        <v>20675.275712999999</v>
      </c>
      <c r="S28" s="24">
        <v>21049.685234</v>
      </c>
      <c r="T28" s="24">
        <v>18532.615544</v>
      </c>
      <c r="U28" s="24">
        <v>19806.090901</v>
      </c>
      <c r="V28" s="24">
        <v>21509.683994999999</v>
      </c>
      <c r="W28" s="24">
        <v>23506.878487000002</v>
      </c>
      <c r="X28" s="24">
        <v>26613.040246</v>
      </c>
      <c r="Y28" s="24">
        <v>25181.954618</v>
      </c>
      <c r="Z28" s="24">
        <v>24960.349195999999</v>
      </c>
      <c r="AA28" s="24">
        <v>22955.611009</v>
      </c>
      <c r="AB28" s="24">
        <v>22817.337200999998</v>
      </c>
      <c r="AC28" s="24">
        <v>18612.437214000001</v>
      </c>
      <c r="AD28" s="24">
        <v>21276.978152</v>
      </c>
    </row>
    <row r="29" spans="2:30" x14ac:dyDescent="0.2">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2:30" x14ac:dyDescent="0.2">
      <c r="B30" s="300" t="s">
        <v>372</v>
      </c>
      <c r="C30" s="302">
        <v>1.906507</v>
      </c>
      <c r="D30" s="302">
        <v>1.99074</v>
      </c>
      <c r="E30" s="302">
        <v>2.095866</v>
      </c>
      <c r="F30" s="302">
        <v>1.9273640000000001</v>
      </c>
      <c r="G30" s="302">
        <v>1.923057</v>
      </c>
      <c r="H30" s="302">
        <v>2.0158710000000002</v>
      </c>
      <c r="I30" s="302">
        <v>1.912317</v>
      </c>
      <c r="J30" s="302">
        <v>1.8408500000000001</v>
      </c>
      <c r="K30" s="302">
        <v>1.980429</v>
      </c>
      <c r="L30" s="302">
        <v>1.8776079999999999</v>
      </c>
      <c r="M30" s="302">
        <v>1.949908</v>
      </c>
      <c r="N30" s="302">
        <v>1.7695270000000001</v>
      </c>
      <c r="O30" s="302">
        <v>1.7894699999999999</v>
      </c>
      <c r="P30" s="302">
        <v>1.7840830000000001</v>
      </c>
      <c r="Q30" s="302">
        <v>1.747741</v>
      </c>
      <c r="R30" s="302">
        <v>1.7049430000000001</v>
      </c>
      <c r="S30" s="302">
        <v>1.4406429999999999</v>
      </c>
      <c r="T30" s="302">
        <v>1.8297399999999999</v>
      </c>
      <c r="U30" s="302">
        <v>1.7899590000000001</v>
      </c>
      <c r="V30" s="302">
        <v>1.682253</v>
      </c>
      <c r="W30" s="302">
        <v>1.662547</v>
      </c>
      <c r="X30" s="302">
        <v>1.538481</v>
      </c>
      <c r="Y30" s="302">
        <v>1.4979720000000001</v>
      </c>
      <c r="Z30" s="302">
        <v>1.6691800000000001</v>
      </c>
      <c r="AA30" s="302">
        <v>1.6706460000000001</v>
      </c>
      <c r="AB30" s="302">
        <v>1.674007</v>
      </c>
      <c r="AC30" s="302">
        <v>1.8526830000000001</v>
      </c>
      <c r="AD30" s="302">
        <v>1.6266290000000001</v>
      </c>
    </row>
    <row r="31" spans="2:30" x14ac:dyDescent="0.2">
      <c r="B31" s="9"/>
    </row>
    <row r="32" spans="2:30" x14ac:dyDescent="0.2">
      <c r="B32" s="303" t="s">
        <v>373</v>
      </c>
      <c r="C32" s="304">
        <v>46.002657999999997</v>
      </c>
      <c r="D32" s="304">
        <v>47.956099000000002</v>
      </c>
      <c r="E32" s="304">
        <v>46.714374999999997</v>
      </c>
      <c r="F32" s="304">
        <v>42.720207000000002</v>
      </c>
      <c r="G32" s="304">
        <v>40.933143000000001</v>
      </c>
      <c r="H32" s="304">
        <v>50.689492000000001</v>
      </c>
      <c r="I32" s="304">
        <v>42.981805000000001</v>
      </c>
      <c r="J32" s="304">
        <v>48.715238999999997</v>
      </c>
      <c r="K32" s="304">
        <v>47.242305000000002</v>
      </c>
      <c r="L32" s="304">
        <v>46.139518000000002</v>
      </c>
      <c r="M32" s="304">
        <v>50.273333000000001</v>
      </c>
      <c r="N32" s="304">
        <v>47.958621000000001</v>
      </c>
      <c r="O32" s="304">
        <v>55.433512</v>
      </c>
      <c r="P32" s="304">
        <v>57.827801000000001</v>
      </c>
      <c r="Q32" s="304">
        <v>51.988436</v>
      </c>
      <c r="R32" s="304">
        <v>55.475662999999997</v>
      </c>
      <c r="S32" s="304">
        <v>50.462775999999998</v>
      </c>
      <c r="T32" s="304">
        <v>54.473697000000001</v>
      </c>
      <c r="U32" s="304">
        <v>57.416438999999997</v>
      </c>
      <c r="V32" s="304">
        <v>56.215628000000002</v>
      </c>
      <c r="W32" s="304">
        <v>60.083086000000002</v>
      </c>
      <c r="X32" s="304">
        <v>62.590674</v>
      </c>
      <c r="Y32" s="304">
        <v>57.365600999999998</v>
      </c>
      <c r="Z32" s="304">
        <v>60.787644999999998</v>
      </c>
      <c r="AA32" s="304">
        <v>56.953198999999998</v>
      </c>
      <c r="AB32" s="304">
        <v>55.582836999999998</v>
      </c>
      <c r="AC32" s="304">
        <v>52.270589999999999</v>
      </c>
      <c r="AD32" s="304">
        <v>45.437016</v>
      </c>
    </row>
    <row r="33" spans="2:30" x14ac:dyDescent="0.2">
      <c r="B33" s="305" t="s">
        <v>374</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2:30" x14ac:dyDescent="0.2">
      <c r="B34" s="21" t="s">
        <v>2</v>
      </c>
      <c r="C34" s="16">
        <v>13.453925999999999</v>
      </c>
      <c r="D34" s="16">
        <v>13.511552999999999</v>
      </c>
      <c r="E34" s="16">
        <v>14.481909</v>
      </c>
      <c r="F34" s="16">
        <v>12.919058</v>
      </c>
      <c r="G34" s="16">
        <v>11.743914999999999</v>
      </c>
      <c r="H34" s="16">
        <v>16.250637999999999</v>
      </c>
      <c r="I34" s="16">
        <v>13.432921</v>
      </c>
      <c r="J34" s="16">
        <v>13.341934999999999</v>
      </c>
      <c r="K34" s="16">
        <v>13.747685000000001</v>
      </c>
      <c r="L34" s="16">
        <v>13.530182999999999</v>
      </c>
      <c r="M34" s="16">
        <v>14.685972</v>
      </c>
      <c r="N34" s="16">
        <v>12.680915000000001</v>
      </c>
      <c r="O34" s="16">
        <v>13.783075</v>
      </c>
      <c r="P34" s="16">
        <v>15.803940000000001</v>
      </c>
      <c r="Q34" s="16">
        <v>12.529522999999999</v>
      </c>
      <c r="R34" s="16">
        <v>13.148399</v>
      </c>
      <c r="S34" s="16">
        <v>13.595272</v>
      </c>
      <c r="T34" s="16">
        <v>13.578233000000001</v>
      </c>
      <c r="U34" s="16">
        <v>14.893966000000001</v>
      </c>
      <c r="V34" s="16">
        <v>14.709906</v>
      </c>
      <c r="W34" s="16">
        <v>15.508777</v>
      </c>
      <c r="X34" s="16">
        <v>16.256792999999998</v>
      </c>
      <c r="Y34" s="16">
        <v>14.424751000000001</v>
      </c>
      <c r="Z34" s="16">
        <v>13.138889000000001</v>
      </c>
      <c r="AA34" s="16">
        <v>12.481779</v>
      </c>
      <c r="AB34" s="16">
        <v>12.268357</v>
      </c>
      <c r="AC34" s="16">
        <v>13.497458999999999</v>
      </c>
      <c r="AD34" s="16">
        <v>7.6072430000000004</v>
      </c>
    </row>
    <row r="35" spans="2:30" x14ac:dyDescent="0.2">
      <c r="B35" s="21" t="s">
        <v>10</v>
      </c>
      <c r="C35" s="16">
        <v>24.628601</v>
      </c>
      <c r="D35" s="16">
        <v>26.277547999999999</v>
      </c>
      <c r="E35" s="16">
        <v>24.842085999999998</v>
      </c>
      <c r="F35" s="16">
        <v>22.979790000000001</v>
      </c>
      <c r="G35" s="16">
        <v>22.698988</v>
      </c>
      <c r="H35" s="16">
        <v>26.222650000000002</v>
      </c>
      <c r="I35" s="16">
        <v>22.602188000000002</v>
      </c>
      <c r="J35" s="16">
        <v>26.208214999999999</v>
      </c>
      <c r="K35" s="16">
        <v>25.414562</v>
      </c>
      <c r="L35" s="16">
        <v>25.701397</v>
      </c>
      <c r="M35" s="16">
        <v>28.452214999999999</v>
      </c>
      <c r="N35" s="16">
        <v>28.166817000000002</v>
      </c>
      <c r="O35" s="16">
        <v>33.350960999999998</v>
      </c>
      <c r="P35" s="16">
        <v>34.373809000000001</v>
      </c>
      <c r="Q35" s="16">
        <v>33.047697999999997</v>
      </c>
      <c r="R35" s="16">
        <v>35.250157999999999</v>
      </c>
      <c r="S35" s="16">
        <v>30.325077</v>
      </c>
      <c r="T35" s="16">
        <v>33.909869</v>
      </c>
      <c r="U35" s="16">
        <v>35.452095999999997</v>
      </c>
      <c r="V35" s="16">
        <v>36.184741000000002</v>
      </c>
      <c r="W35" s="16">
        <v>39.081285000000001</v>
      </c>
      <c r="X35" s="16">
        <v>40.943644999999997</v>
      </c>
      <c r="Y35" s="16">
        <v>37.721850000000003</v>
      </c>
      <c r="Z35" s="16">
        <v>41.663308000000001</v>
      </c>
      <c r="AA35" s="16">
        <v>38.350707</v>
      </c>
      <c r="AB35" s="16">
        <v>38.196371999999997</v>
      </c>
      <c r="AC35" s="16">
        <v>34.482951999999997</v>
      </c>
      <c r="AD35" s="16">
        <v>34.609741</v>
      </c>
    </row>
    <row r="36" spans="2:30" x14ac:dyDescent="0.2">
      <c r="B36" s="21" t="s">
        <v>3</v>
      </c>
      <c r="C36" s="16">
        <v>7.9201309999999996</v>
      </c>
      <c r="D36" s="16">
        <v>8.1669979999999995</v>
      </c>
      <c r="E36" s="16">
        <v>7.3903800000000004</v>
      </c>
      <c r="F36" s="16">
        <v>6.821358</v>
      </c>
      <c r="G36" s="16">
        <v>6.49024</v>
      </c>
      <c r="H36" s="16">
        <v>8.2162039999999994</v>
      </c>
      <c r="I36" s="16">
        <v>6.9466950000000001</v>
      </c>
      <c r="J36" s="16">
        <v>9.165089</v>
      </c>
      <c r="K36" s="16">
        <v>8.0800579999999993</v>
      </c>
      <c r="L36" s="16">
        <v>6.9079379999999997</v>
      </c>
      <c r="M36" s="16">
        <v>7.1351469999999999</v>
      </c>
      <c r="N36" s="16">
        <v>7.1108890000000002</v>
      </c>
      <c r="O36" s="16">
        <v>8.2994769999999995</v>
      </c>
      <c r="P36" s="16">
        <v>7.6500519999999996</v>
      </c>
      <c r="Q36" s="16">
        <v>6.4112150000000003</v>
      </c>
      <c r="R36" s="16">
        <v>7.0771059999999997</v>
      </c>
      <c r="S36" s="16">
        <v>6.542427</v>
      </c>
      <c r="T36" s="16">
        <v>6.985595</v>
      </c>
      <c r="U36" s="16">
        <v>7.0703779999999998</v>
      </c>
      <c r="V36" s="16">
        <v>5.3209809999999997</v>
      </c>
      <c r="W36" s="16">
        <v>5.493023</v>
      </c>
      <c r="X36" s="16">
        <v>5.3902369999999999</v>
      </c>
      <c r="Y36" s="16">
        <v>5.2189990000000002</v>
      </c>
      <c r="Z36" s="16">
        <v>5.985449</v>
      </c>
      <c r="AA36" s="16">
        <v>6.1207120000000002</v>
      </c>
      <c r="AB36" s="16">
        <v>5.1181080000000003</v>
      </c>
      <c r="AC36" s="16">
        <v>4.2901790000000002</v>
      </c>
      <c r="AD36" s="16">
        <v>3.2200329999999999</v>
      </c>
    </row>
    <row r="37" spans="2:30" x14ac:dyDescent="0.2">
      <c r="B37" s="3"/>
    </row>
    <row r="38" spans="2:30" x14ac:dyDescent="0.2">
      <c r="B38" s="306" t="s">
        <v>375</v>
      </c>
    </row>
    <row r="39" spans="2:30" x14ac:dyDescent="0.2">
      <c r="B39" s="306" t="s">
        <v>376</v>
      </c>
      <c r="C39" s="16">
        <f>(C35*1000000)/(C13*1000)</f>
        <v>958.34861278648975</v>
      </c>
      <c r="D39" s="16">
        <f t="shared" ref="D39:AC39" si="0">(D35*1000000)/(D13*1000)</f>
        <v>1022.2737988718148</v>
      </c>
      <c r="E39" s="16">
        <f t="shared" si="0"/>
        <v>1119.567623597278</v>
      </c>
      <c r="F39" s="16">
        <f t="shared" si="0"/>
        <v>996.21927428794379</v>
      </c>
      <c r="G39" s="16">
        <f t="shared" si="0"/>
        <v>964.15019326339041</v>
      </c>
      <c r="H39" s="16">
        <f t="shared" si="0"/>
        <v>1208.9184454382003</v>
      </c>
      <c r="I39" s="16">
        <f t="shared" si="0"/>
        <v>1101.7396051669509</v>
      </c>
      <c r="J39" s="16">
        <f t="shared" si="0"/>
        <v>1178.479922658393</v>
      </c>
      <c r="K39" s="16">
        <f t="shared" si="0"/>
        <v>1189.1522552872918</v>
      </c>
      <c r="L39" s="16">
        <f t="shared" si="0"/>
        <v>1175.8885940430982</v>
      </c>
      <c r="M39" s="16">
        <f t="shared" si="0"/>
        <v>1214.6089647812166</v>
      </c>
      <c r="N39" s="16">
        <f t="shared" si="0"/>
        <v>1213.1457059178224</v>
      </c>
      <c r="O39" s="16">
        <f t="shared" si="0"/>
        <v>1345.1765014318555</v>
      </c>
      <c r="P39" s="16">
        <f t="shared" si="0"/>
        <v>1426.0032773283551</v>
      </c>
      <c r="Q39" s="16">
        <f t="shared" si="0"/>
        <v>1405.985875345671</v>
      </c>
      <c r="R39" s="16">
        <f t="shared" si="0"/>
        <v>1467.7169504934004</v>
      </c>
      <c r="S39" s="16">
        <f t="shared" si="0"/>
        <v>1319.1124885814954</v>
      </c>
      <c r="T39" s="16">
        <f t="shared" si="0"/>
        <v>1310.4250492715539</v>
      </c>
      <c r="U39" s="16">
        <f t="shared" si="0"/>
        <v>1309.8387645015887</v>
      </c>
      <c r="V39" s="16">
        <f t="shared" si="0"/>
        <v>1288.859875333927</v>
      </c>
      <c r="W39" s="16">
        <f t="shared" si="0"/>
        <v>1385.861170212766</v>
      </c>
      <c r="X39" s="16">
        <f t="shared" si="0"/>
        <v>1422.2469431707657</v>
      </c>
      <c r="Y39" s="16">
        <f t="shared" si="0"/>
        <v>1280.7038093298024</v>
      </c>
      <c r="Z39" s="16">
        <f t="shared" si="0"/>
        <v>1435.7251455942658</v>
      </c>
      <c r="AA39" s="16">
        <f t="shared" si="0"/>
        <v>1359.2793294109308</v>
      </c>
      <c r="AB39" s="16">
        <f t="shared" si="0"/>
        <v>1233.9322241964142</v>
      </c>
      <c r="AC39" s="16">
        <f t="shared" si="0"/>
        <v>1185.0626159873532</v>
      </c>
      <c r="AD39" s="16">
        <f>(AD35*1000000)/(AD13*1000)</f>
        <v>1185.4274900671326</v>
      </c>
    </row>
    <row r="40" spans="2:30" x14ac:dyDescent="0.2">
      <c r="B40" s="306" t="s">
        <v>377</v>
      </c>
      <c r="C40" s="16">
        <f>C39/C23*1000</f>
        <v>20.018320504067749</v>
      </c>
      <c r="D40" s="16">
        <f t="shared" ref="D40:AD40" si="1">D39/D23*1000</f>
        <v>20.962495794175936</v>
      </c>
      <c r="E40" s="16">
        <f t="shared" si="1"/>
        <v>22.069469615134235</v>
      </c>
      <c r="F40" s="16">
        <f t="shared" si="1"/>
        <v>20.333692789829229</v>
      </c>
      <c r="G40" s="16">
        <f t="shared" si="1"/>
        <v>20.461330706687271</v>
      </c>
      <c r="H40" s="16">
        <f t="shared" si="1"/>
        <v>21.630295202022317</v>
      </c>
      <c r="I40" s="16">
        <f t="shared" si="1"/>
        <v>20.691268347541282</v>
      </c>
      <c r="J40" s="16">
        <f t="shared" si="1"/>
        <v>20.083679110865027</v>
      </c>
      <c r="K40" s="16">
        <f t="shared" si="1"/>
        <v>21.80452849548481</v>
      </c>
      <c r="L40" s="16">
        <f t="shared" si="1"/>
        <v>20.841444219593004</v>
      </c>
      <c r="M40" s="16">
        <f t="shared" si="1"/>
        <v>21.819468155345898</v>
      </c>
      <c r="N40" s="16">
        <f t="shared" si="1"/>
        <v>19.977958092487981</v>
      </c>
      <c r="O40" s="16">
        <f t="shared" si="1"/>
        <v>20.382068745389962</v>
      </c>
      <c r="P40" s="16">
        <f t="shared" si="1"/>
        <v>20.481269399153899</v>
      </c>
      <c r="Q40" s="16">
        <f t="shared" si="1"/>
        <v>20.238840791815452</v>
      </c>
      <c r="R40" s="16">
        <f t="shared" si="1"/>
        <v>19.913729381568899</v>
      </c>
      <c r="S40" s="16">
        <f t="shared" si="1"/>
        <v>16.970771918087209</v>
      </c>
      <c r="T40" s="16">
        <f t="shared" si="1"/>
        <v>21.737311862724287</v>
      </c>
      <c r="U40" s="16">
        <f t="shared" si="1"/>
        <v>21.44371204794448</v>
      </c>
      <c r="V40" s="16">
        <f t="shared" si="1"/>
        <v>20.321622176567651</v>
      </c>
      <c r="W40" s="16">
        <f t="shared" si="1"/>
        <v>20.249819709740329</v>
      </c>
      <c r="X40" s="16">
        <f t="shared" si="1"/>
        <v>18.90792605426283</v>
      </c>
      <c r="Y40" s="16">
        <f t="shared" si="1"/>
        <v>18.559866721428058</v>
      </c>
      <c r="Z40" s="16">
        <f t="shared" si="1"/>
        <v>20.681136392424396</v>
      </c>
      <c r="AA40" s="16">
        <f t="shared" si="1"/>
        <v>20.699307874855855</v>
      </c>
      <c r="AB40" s="16">
        <f t="shared" si="1"/>
        <v>20.740941193594985</v>
      </c>
      <c r="AC40" s="16">
        <f t="shared" si="1"/>
        <v>22.954746353323721</v>
      </c>
      <c r="AD40" s="16">
        <f t="shared" si="1"/>
        <v>20.15392824710284</v>
      </c>
    </row>
    <row r="41" spans="2:30" x14ac:dyDescent="0.2">
      <c r="B41" s="306" t="s">
        <v>379</v>
      </c>
      <c r="C41" s="16">
        <f>C40/34*100</f>
        <v>58.877413247258083</v>
      </c>
      <c r="D41" s="16">
        <f t="shared" ref="D41:AD41" si="2">D40/34*100</f>
        <v>61.654399394635107</v>
      </c>
      <c r="E41" s="16">
        <f t="shared" si="2"/>
        <v>64.910204750394811</v>
      </c>
      <c r="F41" s="16">
        <f t="shared" si="2"/>
        <v>59.804978793615383</v>
      </c>
      <c r="G41" s="16">
        <f t="shared" si="2"/>
        <v>60.180384431433154</v>
      </c>
      <c r="H41" s="16">
        <f t="shared" si="2"/>
        <v>63.618515300065638</v>
      </c>
      <c r="I41" s="16">
        <f t="shared" si="2"/>
        <v>60.856671610415539</v>
      </c>
      <c r="J41" s="16">
        <f t="shared" si="2"/>
        <v>59.069644443720669</v>
      </c>
      <c r="K41" s="16">
        <f t="shared" si="2"/>
        <v>64.130966163190621</v>
      </c>
      <c r="L41" s="16">
        <f t="shared" si="2"/>
        <v>61.298365351744131</v>
      </c>
      <c r="M41" s="16">
        <f t="shared" si="2"/>
        <v>64.174906339252644</v>
      </c>
      <c r="N41" s="16">
        <f t="shared" si="2"/>
        <v>58.758700272023475</v>
      </c>
      <c r="O41" s="16">
        <f t="shared" si="2"/>
        <v>59.947261015852824</v>
      </c>
      <c r="P41" s="16">
        <f t="shared" si="2"/>
        <v>60.239027644570285</v>
      </c>
      <c r="Q41" s="16">
        <f t="shared" si="2"/>
        <v>59.526002328868977</v>
      </c>
      <c r="R41" s="16">
        <f t="shared" si="2"/>
        <v>58.569792298732061</v>
      </c>
      <c r="S41" s="16">
        <f t="shared" si="2"/>
        <v>49.914035053197672</v>
      </c>
      <c r="T41" s="16">
        <f t="shared" si="2"/>
        <v>63.933270184483192</v>
      </c>
      <c r="U41" s="16">
        <f t="shared" si="2"/>
        <v>63.069741317483761</v>
      </c>
      <c r="V41" s="16">
        <f t="shared" si="2"/>
        <v>59.769476989904859</v>
      </c>
      <c r="W41" s="16">
        <f t="shared" si="2"/>
        <v>59.55829326394214</v>
      </c>
      <c r="X41" s="16">
        <f t="shared" si="2"/>
        <v>55.611547218420085</v>
      </c>
      <c r="Y41" s="16">
        <f t="shared" si="2"/>
        <v>54.587843298317814</v>
      </c>
      <c r="Z41" s="16">
        <f t="shared" si="2"/>
        <v>60.826871742424693</v>
      </c>
      <c r="AA41" s="16">
        <f t="shared" si="2"/>
        <v>60.880317278987803</v>
      </c>
      <c r="AB41" s="16">
        <f t="shared" si="2"/>
        <v>61.002768216455841</v>
      </c>
      <c r="AC41" s="16">
        <f t="shared" si="2"/>
        <v>67.513959862716817</v>
      </c>
      <c r="AD41" s="179">
        <f t="shared" si="2"/>
        <v>59.27625955030247</v>
      </c>
    </row>
    <row r="42" spans="2:30" x14ac:dyDescent="0.2">
      <c r="B42" s="306"/>
      <c r="C42" s="16"/>
    </row>
    <row r="43" spans="2:30" x14ac:dyDescent="0.2">
      <c r="B43" s="306" t="s">
        <v>380</v>
      </c>
      <c r="C43">
        <v>60</v>
      </c>
      <c r="D43" s="12" t="s">
        <v>378</v>
      </c>
    </row>
    <row r="45" spans="2:30" x14ac:dyDescent="0.2">
      <c r="B45" s="306" t="s">
        <v>386</v>
      </c>
    </row>
    <row r="46" spans="2:30" x14ac:dyDescent="0.2">
      <c r="B46" s="306" t="s">
        <v>376</v>
      </c>
      <c r="C46" s="36">
        <f>C34/C12*1000</f>
        <v>301.10393447025649</v>
      </c>
      <c r="D46" s="36">
        <f t="shared" ref="D46:AC46" si="3">D34/D12*1000</f>
        <v>305.40104425658876</v>
      </c>
      <c r="E46" s="36">
        <f t="shared" si="3"/>
        <v>302.29843860894249</v>
      </c>
      <c r="F46" s="36">
        <f t="shared" si="3"/>
        <v>276.97148615041596</v>
      </c>
      <c r="G46" s="36">
        <f t="shared" si="3"/>
        <v>248.16505716036599</v>
      </c>
      <c r="H46" s="36">
        <f t="shared" si="3"/>
        <v>333.01852534939951</v>
      </c>
      <c r="I46" s="36">
        <f t="shared" si="3"/>
        <v>272.6998315028726</v>
      </c>
      <c r="J46" s="36">
        <f t="shared" si="3"/>
        <v>283.72607604627422</v>
      </c>
      <c r="K46" s="36">
        <f t="shared" si="3"/>
        <v>296.4268618741645</v>
      </c>
      <c r="L46" s="36">
        <f t="shared" si="3"/>
        <v>302.54652176829677</v>
      </c>
      <c r="M46" s="36">
        <f t="shared" si="3"/>
        <v>312.66040748546976</v>
      </c>
      <c r="N46" s="36">
        <f t="shared" si="3"/>
        <v>294.75419552786946</v>
      </c>
      <c r="O46" s="36">
        <f t="shared" si="3"/>
        <v>297.83212325511045</v>
      </c>
      <c r="P46" s="36">
        <f t="shared" si="3"/>
        <v>332.37165870996239</v>
      </c>
      <c r="Q46" s="36">
        <f t="shared" si="3"/>
        <v>267.2337798063387</v>
      </c>
      <c r="R46" s="36">
        <f t="shared" si="3"/>
        <v>280.20626971272696</v>
      </c>
      <c r="S46" s="36">
        <f t="shared" si="3"/>
        <v>276.24244640861525</v>
      </c>
      <c r="T46" s="36">
        <f t="shared" si="3"/>
        <v>283.05676464456951</v>
      </c>
      <c r="U46" s="36">
        <f t="shared" si="3"/>
        <v>307.42168923381774</v>
      </c>
      <c r="V46" s="36">
        <f t="shared" si="3"/>
        <v>297.35003032140696</v>
      </c>
      <c r="W46" s="36">
        <f t="shared" si="3"/>
        <v>309.94617982692807</v>
      </c>
      <c r="X46" s="36">
        <f t="shared" si="3"/>
        <v>326.27128406855854</v>
      </c>
      <c r="Y46" s="36">
        <f t="shared" si="3"/>
        <v>290.25979958145524</v>
      </c>
      <c r="Z46" s="36">
        <f t="shared" si="3"/>
        <v>262.42088759287373</v>
      </c>
      <c r="AA46" s="36">
        <f t="shared" si="3"/>
        <v>234.48327102628167</v>
      </c>
      <c r="AB46" s="36">
        <f t="shared" si="3"/>
        <v>243.10625185772318</v>
      </c>
      <c r="AC46" s="36">
        <f t="shared" si="3"/>
        <v>265.80265852697909</v>
      </c>
    </row>
    <row r="47" spans="2:30" x14ac:dyDescent="0.2">
      <c r="B47" s="306" t="s">
        <v>387</v>
      </c>
      <c r="C47" s="139">
        <f>C46/C22*1000</f>
        <v>15.373320039662115</v>
      </c>
      <c r="D47" s="139">
        <f t="shared" ref="D47:AC47" si="4">D46/D22*1000</f>
        <v>15.822748449868332</v>
      </c>
      <c r="E47" s="139">
        <f t="shared" si="4"/>
        <v>14.958553344505336</v>
      </c>
      <c r="F47" s="139">
        <f t="shared" si="4"/>
        <v>14.558801090222754</v>
      </c>
      <c r="G47" s="139">
        <f t="shared" si="4"/>
        <v>14.087217740705128</v>
      </c>
      <c r="H47" s="139">
        <f t="shared" si="4"/>
        <v>13.654688002043368</v>
      </c>
      <c r="I47" s="139">
        <f t="shared" si="4"/>
        <v>13.219540978199621</v>
      </c>
      <c r="J47" s="139">
        <f t="shared" si="4"/>
        <v>12.93669872303148</v>
      </c>
      <c r="K47" s="139">
        <f t="shared" si="4"/>
        <v>12.664983045082543</v>
      </c>
      <c r="L47" s="139">
        <f t="shared" si="4"/>
        <v>12.314943407526155</v>
      </c>
      <c r="M47" s="139">
        <f t="shared" si="4"/>
        <v>11.998764576537438</v>
      </c>
      <c r="N47" s="139">
        <f t="shared" si="4"/>
        <v>11.696148898034304</v>
      </c>
      <c r="O47" s="139">
        <f t="shared" si="4"/>
        <v>11.25717677544878</v>
      </c>
      <c r="P47" s="139">
        <f t="shared" si="4"/>
        <v>11.224423843282224</v>
      </c>
      <c r="Q47" s="139">
        <f t="shared" si="4"/>
        <v>10.679675215555662</v>
      </c>
      <c r="R47" s="139">
        <f t="shared" si="4"/>
        <v>10.180739520591793</v>
      </c>
      <c r="S47" s="139">
        <f t="shared" si="4"/>
        <v>8.9348162078569793</v>
      </c>
      <c r="T47" s="139">
        <f t="shared" si="4"/>
        <v>10.874988015455816</v>
      </c>
      <c r="U47" s="139">
        <f t="shared" si="4"/>
        <v>11.378559447221145</v>
      </c>
      <c r="V47" s="139">
        <f t="shared" si="4"/>
        <v>9.6582747260263346</v>
      </c>
      <c r="W47" s="139">
        <f t="shared" si="4"/>
        <v>9.3240958011867612</v>
      </c>
      <c r="X47" s="139">
        <f t="shared" si="4"/>
        <v>9.784140845191903</v>
      </c>
      <c r="Y47" s="139">
        <f t="shared" si="4"/>
        <v>9.2542200490779152</v>
      </c>
      <c r="Z47" s="139">
        <f t="shared" si="4"/>
        <v>9.0471525232283838</v>
      </c>
      <c r="AA47" s="139">
        <f t="shared" si="4"/>
        <v>9.4007379258263235</v>
      </c>
      <c r="AB47" s="139">
        <f t="shared" si="4"/>
        <v>9.6018692428577808</v>
      </c>
      <c r="AC47" s="139">
        <f t="shared" si="4"/>
        <v>9.9612503848013176</v>
      </c>
    </row>
    <row r="48" spans="2:30" x14ac:dyDescent="0.2">
      <c r="B48" s="306" t="s">
        <v>379</v>
      </c>
      <c r="C48" s="139">
        <f>C47/34*100</f>
        <v>45.215647175476811</v>
      </c>
      <c r="D48" s="139">
        <f t="shared" ref="D48:AC48" si="5">D47/34*100</f>
        <v>46.537495440789215</v>
      </c>
      <c r="E48" s="139">
        <f t="shared" si="5"/>
        <v>43.995745130898051</v>
      </c>
      <c r="F48" s="139">
        <f t="shared" si="5"/>
        <v>42.820003206537514</v>
      </c>
      <c r="G48" s="139">
        <f t="shared" si="5"/>
        <v>41.432993355015086</v>
      </c>
      <c r="H48" s="139">
        <f t="shared" si="5"/>
        <v>40.16084706483344</v>
      </c>
      <c r="I48" s="139">
        <f t="shared" si="5"/>
        <v>38.881002877057711</v>
      </c>
      <c r="J48" s="139">
        <f t="shared" si="5"/>
        <v>38.049113891269059</v>
      </c>
      <c r="K48" s="139">
        <f t="shared" si="5"/>
        <v>37.249950132595714</v>
      </c>
      <c r="L48" s="139">
        <f t="shared" si="5"/>
        <v>36.220421786841634</v>
      </c>
      <c r="M48" s="139">
        <f t="shared" si="5"/>
        <v>35.290484048639527</v>
      </c>
      <c r="N48" s="139">
        <f t="shared" si="5"/>
        <v>34.400437935395011</v>
      </c>
      <c r="O48" s="139">
        <f t="shared" si="5"/>
        <v>33.109343457202293</v>
      </c>
      <c r="P48" s="139">
        <f t="shared" si="5"/>
        <v>33.01301130377125</v>
      </c>
      <c r="Q48" s="139">
        <f t="shared" si="5"/>
        <v>31.410809457516653</v>
      </c>
      <c r="R48" s="139">
        <f t="shared" si="5"/>
        <v>29.943351531152331</v>
      </c>
      <c r="S48" s="139">
        <f t="shared" si="5"/>
        <v>26.278871199579353</v>
      </c>
      <c r="T48" s="139">
        <f t="shared" si="5"/>
        <v>31.985258868987692</v>
      </c>
      <c r="U48" s="139">
        <f t="shared" si="5"/>
        <v>33.466351315356306</v>
      </c>
      <c r="V48" s="139">
        <f t="shared" si="5"/>
        <v>28.406690370665689</v>
      </c>
      <c r="W48" s="139">
        <f t="shared" si="5"/>
        <v>27.42381117996106</v>
      </c>
      <c r="X48" s="139">
        <f t="shared" si="5"/>
        <v>28.776884838799717</v>
      </c>
      <c r="Y48" s="139">
        <f t="shared" si="5"/>
        <v>27.218294261993869</v>
      </c>
      <c r="Z48" s="139">
        <f t="shared" si="5"/>
        <v>26.609272127142304</v>
      </c>
      <c r="AA48" s="139">
        <f t="shared" si="5"/>
        <v>27.649229193606832</v>
      </c>
      <c r="AB48" s="139">
        <f t="shared" si="5"/>
        <v>28.240791890758178</v>
      </c>
      <c r="AC48" s="139">
        <f t="shared" si="5"/>
        <v>29.297795249415643</v>
      </c>
    </row>
    <row r="50" spans="2:4" x14ac:dyDescent="0.2">
      <c r="B50" s="306" t="s">
        <v>388</v>
      </c>
      <c r="C50">
        <f>30</f>
        <v>30</v>
      </c>
      <c r="D50" t="s">
        <v>378</v>
      </c>
    </row>
  </sheetData>
  <sheetProtection algorithmName="SHA-512" hashValue="r5NFoVHH+9HYoFmGY/xAT1xhDuXU5O0HCz2ltPgyLqJ3caAFWnBoa383E0rWf9upq9/ZE2OX0DIRLrHFnyZ0uA==" saltValue="uBqjeKW6I6KNc2YE7jQGJg==" spinCount="100000" sheet="1" objects="1" scenarios="1"/>
  <phoneticPr fontId="0" type="noConversion"/>
  <pageMargins left="0.5" right="0.5" top="0.75" bottom="0.75" header="0.5" footer="0.35"/>
  <pageSetup paperSize="5" scale="65" orientation="landscape" r:id="rId1"/>
  <headerFooter alignWithMargins="0">
    <oddFooter>&amp;LOffice of Energy Efficiency, Demand Policy and Analysis Division, Market Analysis Group.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3">
    <tabColor rgb="FFFFFF00"/>
    <pageSetUpPr fitToPage="1"/>
  </sheetPr>
  <dimension ref="A1:AH35"/>
  <sheetViews>
    <sheetView zoomScale="80" zoomScaleNormal="80" zoomScaleSheetLayoutView="40" workbookViewId="0">
      <selection activeCell="I47" sqref="I47"/>
    </sheetView>
  </sheetViews>
  <sheetFormatPr defaultRowHeight="12.75" x14ac:dyDescent="0.2"/>
  <cols>
    <col min="1" max="1" width="3" customWidth="1"/>
    <col min="2" max="2" width="32" customWidth="1"/>
    <col min="3" max="3" width="19.28515625" bestFit="1" customWidth="1"/>
    <col min="4" max="19" width="7.140625" bestFit="1" customWidth="1"/>
    <col min="20" max="29" width="7.140625" style="7" bestFit="1" customWidth="1"/>
    <col min="30" max="30" width="34.42578125" style="7" bestFit="1" customWidth="1"/>
    <col min="31" max="31" width="8.5703125" bestFit="1" customWidth="1"/>
    <col min="32" max="32" width="10.28515625" bestFit="1" customWidth="1"/>
    <col min="33" max="33" width="8.5703125" bestFit="1" customWidth="1"/>
  </cols>
  <sheetData>
    <row r="1" spans="1:34" ht="18" x14ac:dyDescent="0.25">
      <c r="A1" s="2" t="s">
        <v>0</v>
      </c>
      <c r="C1" t="s">
        <v>217</v>
      </c>
      <c r="L1" s="3"/>
      <c r="M1" s="3"/>
      <c r="N1" s="3"/>
      <c r="O1" s="3"/>
      <c r="P1" s="3"/>
      <c r="Q1" s="3"/>
      <c r="R1" s="3"/>
      <c r="S1" s="3"/>
      <c r="T1" s="10"/>
      <c r="V1" s="10"/>
      <c r="W1" s="10"/>
      <c r="X1" s="10"/>
      <c r="Y1" s="10"/>
      <c r="AA1" s="10"/>
      <c r="AB1" s="10"/>
      <c r="AC1" s="10"/>
      <c r="AD1" s="10" t="s">
        <v>30</v>
      </c>
      <c r="AG1" s="42"/>
    </row>
    <row r="2" spans="1:34" x14ac:dyDescent="0.2">
      <c r="AF2" s="42"/>
      <c r="AG2" s="42"/>
    </row>
    <row r="3" spans="1:34" ht="15.75" x14ac:dyDescent="0.25">
      <c r="A3" s="4" t="s">
        <v>21</v>
      </c>
      <c r="F3" s="3"/>
      <c r="L3" s="3"/>
      <c r="M3" s="3"/>
      <c r="N3" s="3"/>
      <c r="O3" s="3"/>
      <c r="AF3" s="42"/>
      <c r="AG3" s="42"/>
    </row>
    <row r="4" spans="1:34" ht="15.75" x14ac:dyDescent="0.25">
      <c r="A4" s="4" t="s">
        <v>4</v>
      </c>
      <c r="B4" s="1"/>
      <c r="C4" s="1"/>
      <c r="D4" s="1"/>
      <c r="E4" s="1"/>
      <c r="F4" s="1"/>
      <c r="G4" s="1"/>
      <c r="H4" s="5"/>
      <c r="I4" s="5"/>
      <c r="J4" s="5"/>
      <c r="K4" s="5"/>
      <c r="L4" s="6"/>
      <c r="M4" s="6"/>
      <c r="N4" s="6"/>
      <c r="O4" s="6"/>
      <c r="AF4" s="42"/>
      <c r="AG4" s="42"/>
    </row>
    <row r="5" spans="1:34" x14ac:dyDescent="0.2">
      <c r="Z5" s="13"/>
      <c r="AF5" s="42"/>
      <c r="AG5" s="42"/>
    </row>
    <row r="6" spans="1:34" x14ac:dyDescent="0.2">
      <c r="Z6" s="13"/>
      <c r="AF6" s="42"/>
      <c r="AG6" s="42"/>
    </row>
    <row r="7" spans="1:34" x14ac:dyDescent="0.2">
      <c r="Z7" s="13"/>
      <c r="AF7" s="43" t="s">
        <v>37</v>
      </c>
      <c r="AG7" s="42">
        <v>0</v>
      </c>
    </row>
    <row r="8" spans="1:34" x14ac:dyDescent="0.2">
      <c r="Z8" s="13"/>
      <c r="AF8" s="42"/>
      <c r="AG8" s="42"/>
    </row>
    <row r="9" spans="1:34" ht="12.75" customHeight="1" x14ac:dyDescent="0.25">
      <c r="C9" s="5"/>
      <c r="D9" s="5"/>
      <c r="E9" s="6"/>
      <c r="F9" s="6"/>
      <c r="H9" s="7"/>
      <c r="I9" s="7"/>
      <c r="J9" s="7"/>
      <c r="K9" s="7"/>
      <c r="L9" s="6"/>
      <c r="AF9" s="42"/>
      <c r="AG9" s="42"/>
    </row>
    <row r="10" spans="1:34" x14ac:dyDescent="0.2">
      <c r="C10" s="23">
        <v>1990</v>
      </c>
      <c r="D10" s="23">
        <v>1991</v>
      </c>
      <c r="E10" s="23">
        <v>1992</v>
      </c>
      <c r="F10" s="23">
        <v>1993</v>
      </c>
      <c r="G10" s="23">
        <v>1994</v>
      </c>
      <c r="H10" s="23">
        <v>1995</v>
      </c>
      <c r="I10" s="23">
        <v>1996</v>
      </c>
      <c r="J10" s="23">
        <v>1997</v>
      </c>
      <c r="K10" s="23">
        <v>1998</v>
      </c>
      <c r="L10" s="23">
        <v>1999</v>
      </c>
      <c r="M10" s="23">
        <v>2000</v>
      </c>
      <c r="N10" s="23">
        <v>2001</v>
      </c>
      <c r="O10" s="23">
        <v>2002</v>
      </c>
      <c r="P10" s="23">
        <v>2003</v>
      </c>
      <c r="Q10" s="23">
        <v>2004</v>
      </c>
      <c r="R10" s="23">
        <v>2005</v>
      </c>
      <c r="S10" s="23">
        <v>2006</v>
      </c>
      <c r="T10" s="29">
        <v>2007</v>
      </c>
      <c r="U10" s="29">
        <v>2008</v>
      </c>
      <c r="V10" s="29">
        <v>2009</v>
      </c>
      <c r="W10" s="29">
        <v>2010</v>
      </c>
      <c r="X10" s="29">
        <v>2011</v>
      </c>
      <c r="Y10" s="29">
        <v>2012</v>
      </c>
      <c r="Z10" s="29">
        <v>2013</v>
      </c>
      <c r="AA10" s="29">
        <v>2014</v>
      </c>
      <c r="AB10" s="29">
        <v>2015</v>
      </c>
      <c r="AC10" s="29">
        <v>2016</v>
      </c>
      <c r="AD10" s="29">
        <v>2017</v>
      </c>
      <c r="AE10" s="35">
        <v>2018</v>
      </c>
      <c r="AF10" s="42">
        <f>AE10+1</f>
        <v>2019</v>
      </c>
      <c r="AG10" s="42">
        <f>AF10+1</f>
        <v>2020</v>
      </c>
    </row>
    <row r="11" spans="1:34" x14ac:dyDescent="0.2">
      <c r="A11" s="18"/>
      <c r="AF11" s="42"/>
      <c r="AG11" s="42"/>
    </row>
    <row r="12" spans="1:34" x14ac:dyDescent="0.2">
      <c r="B12" s="14" t="s">
        <v>15</v>
      </c>
      <c r="AF12" s="42"/>
      <c r="AG12" s="42"/>
      <c r="AH12" s="12" t="s">
        <v>241</v>
      </c>
    </row>
    <row r="13" spans="1:34" x14ac:dyDescent="0.2">
      <c r="B13" s="21" t="s">
        <v>6</v>
      </c>
      <c r="C13" s="24">
        <v>871.88800000000003</v>
      </c>
      <c r="D13" s="24">
        <v>859.62800000000004</v>
      </c>
      <c r="E13" s="24">
        <v>785.73400000000004</v>
      </c>
      <c r="F13" s="24">
        <v>730.779</v>
      </c>
      <c r="G13" s="24">
        <v>729.50900000000001</v>
      </c>
      <c r="H13" s="24">
        <v>640.54200000000003</v>
      </c>
      <c r="I13" s="24">
        <v>653.54700000000003</v>
      </c>
      <c r="J13" s="24">
        <v>723.91600000000005</v>
      </c>
      <c r="K13" s="24">
        <v>740.36599999999999</v>
      </c>
      <c r="L13" s="24">
        <v>788.53</v>
      </c>
      <c r="M13" s="24">
        <v>848.34199999999998</v>
      </c>
      <c r="N13" s="24">
        <v>865.14700000000005</v>
      </c>
      <c r="O13" s="24">
        <v>918.88900000000001</v>
      </c>
      <c r="P13" s="24">
        <v>866.38699999999994</v>
      </c>
      <c r="Q13" s="24">
        <v>825.91700000000003</v>
      </c>
      <c r="R13" s="24">
        <v>845.50300000000004</v>
      </c>
      <c r="S13" s="24">
        <v>865.79399999999998</v>
      </c>
      <c r="T13" s="27">
        <v>881.36</v>
      </c>
      <c r="U13" s="27">
        <v>914.09400000000005</v>
      </c>
      <c r="V13" s="27">
        <v>759.89300000000003</v>
      </c>
      <c r="W13" s="27">
        <v>703.86</v>
      </c>
      <c r="X13" s="27">
        <v>698.97799999999995</v>
      </c>
      <c r="Y13" s="27">
        <v>747.51</v>
      </c>
      <c r="Z13" s="27">
        <v>765.101</v>
      </c>
      <c r="AA13" s="27">
        <v>757.08500000000004</v>
      </c>
      <c r="AB13" s="27">
        <v>721.08600000000001</v>
      </c>
      <c r="AC13" s="27">
        <v>659.14599999999996</v>
      </c>
      <c r="AD13" s="27">
        <v>622.24</v>
      </c>
      <c r="AE13" s="39">
        <f>AE29</f>
        <v>793.80038976108881</v>
      </c>
      <c r="AF13" s="54">
        <f>AF29</f>
        <v>766.64051476639884</v>
      </c>
      <c r="AG13" s="54">
        <f>AG29</f>
        <v>740.40991471191069</v>
      </c>
      <c r="AH13" s="33">
        <f>(AD13/T13)^(1/10)-1</f>
        <v>-3.4214993271626026E-2</v>
      </c>
    </row>
    <row r="14" spans="1:34" x14ac:dyDescent="0.2">
      <c r="B14" s="11"/>
      <c r="AF14" s="42"/>
      <c r="AG14" s="42"/>
    </row>
    <row r="15" spans="1:34" x14ac:dyDescent="0.2">
      <c r="B15" s="14" t="s">
        <v>11</v>
      </c>
      <c r="AF15" s="42"/>
      <c r="AG15" s="42"/>
    </row>
    <row r="16" spans="1:34" x14ac:dyDescent="0.2">
      <c r="B16" s="21" t="s">
        <v>6</v>
      </c>
      <c r="C16" s="24">
        <v>11099.73</v>
      </c>
      <c r="D16" s="24">
        <v>11221.532999999999</v>
      </c>
      <c r="E16" s="24">
        <v>11098.848</v>
      </c>
      <c r="F16" s="24">
        <v>11125.635</v>
      </c>
      <c r="G16" s="24">
        <v>11029.036</v>
      </c>
      <c r="H16" s="24">
        <v>10936.199000000001</v>
      </c>
      <c r="I16" s="24">
        <v>10751.924999999999</v>
      </c>
      <c r="J16" s="24">
        <v>10740.02</v>
      </c>
      <c r="K16" s="24">
        <v>10757.709000000001</v>
      </c>
      <c r="L16" s="24">
        <v>10817.966</v>
      </c>
      <c r="M16" s="24">
        <v>10684.393</v>
      </c>
      <c r="N16" s="24">
        <v>10965.949000000001</v>
      </c>
      <c r="O16" s="24">
        <v>11010.133</v>
      </c>
      <c r="P16" s="24">
        <v>11046.47</v>
      </c>
      <c r="Q16" s="24">
        <v>11189.549000000001</v>
      </c>
      <c r="R16" s="24">
        <v>11124.705</v>
      </c>
      <c r="S16" s="24">
        <v>11262.521000000001</v>
      </c>
      <c r="T16" s="27">
        <v>11607.495999999999</v>
      </c>
      <c r="U16" s="27">
        <v>12000.415999999999</v>
      </c>
      <c r="V16" s="27">
        <v>12097.825999999999</v>
      </c>
      <c r="W16" s="27">
        <v>12061.093999999999</v>
      </c>
      <c r="X16" s="27">
        <v>11913.971</v>
      </c>
      <c r="Y16" s="27">
        <v>11920.513999999999</v>
      </c>
      <c r="Z16" s="27">
        <v>12254.973</v>
      </c>
      <c r="AA16" s="27">
        <v>12564.880999999999</v>
      </c>
      <c r="AB16" s="27">
        <v>12858.978999999999</v>
      </c>
      <c r="AC16" s="27">
        <v>12855.742</v>
      </c>
      <c r="AD16" s="27">
        <v>12728.603999999999</v>
      </c>
      <c r="AE16" s="37">
        <f>AD16*(1+'Stock projection'!$D$41)</f>
        <v>12293.094899782807</v>
      </c>
      <c r="AF16" s="55">
        <f>AE16*(1+'Stock projection'!$D$41)</f>
        <v>11872.486740499278</v>
      </c>
      <c r="AG16" s="55">
        <f>AF16*(1+'Stock projection'!$D$41)</f>
        <v>11466.269686555626</v>
      </c>
    </row>
    <row r="17" spans="1:33" x14ac:dyDescent="0.2">
      <c r="B17" s="11"/>
      <c r="AF17" s="42"/>
      <c r="AG17" s="42"/>
    </row>
    <row r="18" spans="1:33" ht="25.5" x14ac:dyDescent="0.2">
      <c r="B18" s="15" t="s">
        <v>20</v>
      </c>
      <c r="AF18" s="42"/>
      <c r="AG18" s="42"/>
    </row>
    <row r="19" spans="1:33" x14ac:dyDescent="0.2">
      <c r="A19" s="18"/>
      <c r="B19" s="21" t="s">
        <v>6</v>
      </c>
      <c r="C19" s="24">
        <v>17903.493999999999</v>
      </c>
      <c r="D19" s="24">
        <v>17430.108</v>
      </c>
      <c r="E19" s="24">
        <v>17923.29</v>
      </c>
      <c r="F19" s="24">
        <v>18121.274000000001</v>
      </c>
      <c r="G19" s="24">
        <v>18361.928</v>
      </c>
      <c r="H19" s="24">
        <v>18429.392</v>
      </c>
      <c r="I19" s="24">
        <v>18362.455999999998</v>
      </c>
      <c r="J19" s="24">
        <v>18458.423999999999</v>
      </c>
      <c r="K19" s="24">
        <v>18395.45</v>
      </c>
      <c r="L19" s="24">
        <v>18371.664000000001</v>
      </c>
      <c r="M19" s="24">
        <v>18425.454000000002</v>
      </c>
      <c r="N19" s="24">
        <v>17940.621999999999</v>
      </c>
      <c r="O19" s="24">
        <v>18469.137999999999</v>
      </c>
      <c r="P19" s="24">
        <v>18433.238000000001</v>
      </c>
      <c r="Q19" s="24">
        <v>18203.797999999999</v>
      </c>
      <c r="R19" s="24">
        <v>18230.84</v>
      </c>
      <c r="S19" s="24">
        <v>17774.223999999998</v>
      </c>
      <c r="T19" s="27">
        <v>17838.124</v>
      </c>
      <c r="U19" s="27">
        <v>16903.312000000002</v>
      </c>
      <c r="V19" s="27">
        <v>16844.581999999999</v>
      </c>
      <c r="W19" s="27">
        <v>16855.151999999998</v>
      </c>
      <c r="X19" s="27">
        <v>16669.504000000001</v>
      </c>
      <c r="Y19" s="27">
        <v>16446.787</v>
      </c>
      <c r="Z19" s="27">
        <v>16024.24</v>
      </c>
      <c r="AA19" s="27">
        <v>14878.909</v>
      </c>
      <c r="AB19" s="27">
        <v>14713.842000000001</v>
      </c>
      <c r="AC19" s="27">
        <v>14785.055</v>
      </c>
      <c r="AD19" s="27">
        <v>14291.039000000001</v>
      </c>
      <c r="AF19" s="42"/>
      <c r="AG19" s="42"/>
    </row>
    <row r="20" spans="1:33" x14ac:dyDescent="0.2">
      <c r="B20" s="11"/>
      <c r="AF20" s="42"/>
      <c r="AG20" s="42"/>
    </row>
    <row r="21" spans="1:33" ht="25.5" x14ac:dyDescent="0.2">
      <c r="B21" s="15" t="s">
        <v>5</v>
      </c>
      <c r="AF21" s="42"/>
      <c r="AG21" s="42"/>
    </row>
    <row r="22" spans="1:33" x14ac:dyDescent="0.2">
      <c r="B22" s="22" t="s">
        <v>25</v>
      </c>
      <c r="C22" s="25">
        <v>10.131470999999999</v>
      </c>
      <c r="D22" s="25">
        <v>9.9636890000000005</v>
      </c>
      <c r="E22" s="25">
        <v>9.7853840000000005</v>
      </c>
      <c r="F22" s="25">
        <v>9.7019300000000008</v>
      </c>
      <c r="G22" s="25">
        <v>9.6014999999999997</v>
      </c>
      <c r="H22" s="25">
        <v>9.4653600000000004</v>
      </c>
      <c r="I22" s="25">
        <v>9.4268640000000001</v>
      </c>
      <c r="J22" s="25">
        <v>9.3138939999999995</v>
      </c>
      <c r="K22" s="25">
        <v>9.2389510000000001</v>
      </c>
      <c r="L22" s="25">
        <v>9.1717250000000003</v>
      </c>
      <c r="M22" s="25">
        <v>9.0717090000000002</v>
      </c>
      <c r="N22" s="25">
        <v>9.0021959999999996</v>
      </c>
      <c r="O22" s="25">
        <v>8.9224680000000003</v>
      </c>
      <c r="P22" s="25">
        <v>8.8340610000000002</v>
      </c>
      <c r="Q22" s="25">
        <v>8.7878939999999997</v>
      </c>
      <c r="R22" s="25">
        <v>8.7555709999999998</v>
      </c>
      <c r="S22" s="25">
        <v>8.6911609999999992</v>
      </c>
      <c r="T22" s="30">
        <v>8.6975210000000001</v>
      </c>
      <c r="U22" s="30">
        <v>8.6169759999999993</v>
      </c>
      <c r="V22" s="30">
        <v>8.5662540000000007</v>
      </c>
      <c r="W22" s="30">
        <v>8.529795</v>
      </c>
      <c r="X22" s="30">
        <v>8.5281529999999997</v>
      </c>
      <c r="Y22" s="30">
        <v>8.4518310000000003</v>
      </c>
      <c r="Z22" s="30">
        <v>8.3851739999999992</v>
      </c>
      <c r="AA22" s="30">
        <v>8.3667230000000004</v>
      </c>
      <c r="AB22" s="30">
        <v>8.1111620000000002</v>
      </c>
      <c r="AC22" s="30">
        <v>8.0540500000000002</v>
      </c>
      <c r="AD22" s="30">
        <v>8.0000079999999993</v>
      </c>
      <c r="AF22" s="42"/>
      <c r="AG22" s="42"/>
    </row>
    <row r="23" spans="1:33" x14ac:dyDescent="0.2">
      <c r="B23" s="22" t="s">
        <v>26</v>
      </c>
      <c r="C23" s="25">
        <v>7.7953910000000004</v>
      </c>
      <c r="D23" s="25">
        <v>7.7221859999999998</v>
      </c>
      <c r="E23" s="25">
        <v>7.581982</v>
      </c>
      <c r="F23" s="25">
        <v>7.5238269999999998</v>
      </c>
      <c r="G23" s="25">
        <v>7.4423899999999996</v>
      </c>
      <c r="H23" s="25">
        <v>7.2779049999999996</v>
      </c>
      <c r="I23" s="25">
        <v>7.3032450000000004</v>
      </c>
      <c r="J23" s="25">
        <v>7.0776490000000001</v>
      </c>
      <c r="K23" s="25">
        <v>7.0121770000000003</v>
      </c>
      <c r="L23" s="25">
        <v>6.8451079999999997</v>
      </c>
      <c r="M23" s="25">
        <v>6.6753460000000002</v>
      </c>
      <c r="N23" s="25">
        <v>6.5916699999999997</v>
      </c>
      <c r="O23" s="25">
        <v>6.4949110000000001</v>
      </c>
      <c r="P23" s="25">
        <v>6.3981009999999996</v>
      </c>
      <c r="Q23" s="25">
        <v>6.364751</v>
      </c>
      <c r="R23" s="25">
        <v>6.3645690000000004</v>
      </c>
      <c r="S23" s="25">
        <v>6.3735270000000002</v>
      </c>
      <c r="T23" s="30">
        <v>6.3996719999999998</v>
      </c>
      <c r="U23" s="30">
        <v>6.426704</v>
      </c>
      <c r="V23" s="30">
        <v>6.450755</v>
      </c>
      <c r="W23" s="30">
        <v>6.5607689999999996</v>
      </c>
      <c r="X23" s="30">
        <v>6.5997029999999999</v>
      </c>
      <c r="Y23" s="30">
        <v>6.6765270000000001</v>
      </c>
      <c r="Z23" s="30">
        <v>6.7544599999999999</v>
      </c>
      <c r="AA23" s="30">
        <v>6.7843830000000001</v>
      </c>
      <c r="AB23" s="30">
        <v>6.8267540000000002</v>
      </c>
      <c r="AC23" s="30">
        <v>6.8716080000000002</v>
      </c>
      <c r="AD23" s="30">
        <v>6.8693499999999998</v>
      </c>
      <c r="AF23" s="42"/>
      <c r="AG23" s="42"/>
    </row>
    <row r="24" spans="1:33" x14ac:dyDescent="0.2">
      <c r="B24" s="11"/>
      <c r="C24" s="25"/>
      <c r="D24" s="25"/>
      <c r="E24" s="25"/>
      <c r="F24" s="25"/>
      <c r="G24" s="25"/>
      <c r="H24" s="25"/>
      <c r="I24" s="25"/>
      <c r="J24" s="25"/>
      <c r="K24" s="25"/>
      <c r="L24" s="25"/>
      <c r="M24" s="25"/>
      <c r="N24" s="25"/>
      <c r="O24" s="25"/>
      <c r="P24" s="25"/>
      <c r="Q24" s="25"/>
      <c r="R24" s="25"/>
      <c r="S24" s="25"/>
      <c r="T24" s="30"/>
      <c r="U24" s="30"/>
      <c r="V24" s="30"/>
      <c r="W24" s="30"/>
      <c r="X24" s="30"/>
      <c r="Y24" s="30"/>
      <c r="Z24" s="30"/>
      <c r="AA24" s="30"/>
      <c r="AB24" s="30"/>
      <c r="AC24" s="30"/>
      <c r="AD24" s="30"/>
      <c r="AF24" s="42"/>
      <c r="AG24" s="42"/>
    </row>
    <row r="25" spans="1:33" x14ac:dyDescent="0.2">
      <c r="A25" t="s">
        <v>23</v>
      </c>
      <c r="C25" s="3"/>
      <c r="D25" s="3"/>
      <c r="E25" s="3"/>
      <c r="F25" s="3"/>
      <c r="G25" s="3"/>
      <c r="H25" s="3"/>
      <c r="I25" s="3"/>
      <c r="J25" s="3"/>
      <c r="K25" s="3"/>
      <c r="L25" s="3"/>
      <c r="M25" s="3"/>
      <c r="N25" s="3"/>
      <c r="O25" s="3"/>
      <c r="P25" s="3"/>
      <c r="Q25" s="3"/>
      <c r="R25" s="3"/>
      <c r="S25" s="3"/>
      <c r="T25" s="10"/>
      <c r="U25" s="10"/>
      <c r="V25" s="10"/>
      <c r="W25" s="10"/>
      <c r="X25" s="10"/>
      <c r="Y25" s="10"/>
      <c r="Z25" s="10"/>
      <c r="AA25" s="10"/>
      <c r="AB25" s="10"/>
      <c r="AC25" s="10"/>
      <c r="AD25" s="10"/>
      <c r="AF25" s="42"/>
      <c r="AG25" s="42"/>
    </row>
    <row r="26" spans="1:33" x14ac:dyDescent="0.2">
      <c r="A26" t="s">
        <v>24</v>
      </c>
      <c r="AF26" s="42"/>
      <c r="AG26" s="42"/>
    </row>
    <row r="27" spans="1:33" x14ac:dyDescent="0.2">
      <c r="AF27" s="42"/>
      <c r="AG27" s="42"/>
    </row>
    <row r="28" spans="1:33" x14ac:dyDescent="0.2">
      <c r="B28" s="12" t="s">
        <v>31</v>
      </c>
      <c r="D28" s="24">
        <f>D16-C16</f>
        <v>121.80299999999988</v>
      </c>
      <c r="E28" s="24">
        <f t="shared" ref="E28:AD28" si="0">E16-D16</f>
        <v>-122.68499999999949</v>
      </c>
      <c r="F28" s="24">
        <f t="shared" si="0"/>
        <v>26.787000000000262</v>
      </c>
      <c r="G28" s="24">
        <f t="shared" si="0"/>
        <v>-96.59900000000016</v>
      </c>
      <c r="H28" s="24">
        <f t="shared" si="0"/>
        <v>-92.836999999999534</v>
      </c>
      <c r="I28" s="24">
        <f t="shared" si="0"/>
        <v>-184.27400000000125</v>
      </c>
      <c r="J28" s="24">
        <f t="shared" si="0"/>
        <v>-11.904999999998836</v>
      </c>
      <c r="K28" s="24">
        <f t="shared" si="0"/>
        <v>17.689000000000306</v>
      </c>
      <c r="L28" s="24">
        <f t="shared" si="0"/>
        <v>60.256999999999607</v>
      </c>
      <c r="M28" s="24">
        <f t="shared" si="0"/>
        <v>-133.57300000000032</v>
      </c>
      <c r="N28" s="24">
        <f t="shared" si="0"/>
        <v>281.55600000000049</v>
      </c>
      <c r="O28" s="24">
        <f t="shared" si="0"/>
        <v>44.183999999999287</v>
      </c>
      <c r="P28" s="24">
        <f t="shared" si="0"/>
        <v>36.336999999999534</v>
      </c>
      <c r="Q28" s="24">
        <f t="shared" si="0"/>
        <v>143.07900000000154</v>
      </c>
      <c r="R28" s="24">
        <f t="shared" si="0"/>
        <v>-64.84400000000096</v>
      </c>
      <c r="S28" s="24">
        <f t="shared" si="0"/>
        <v>137.81600000000071</v>
      </c>
      <c r="T28" s="24">
        <f t="shared" si="0"/>
        <v>344.97499999999854</v>
      </c>
      <c r="U28" s="24">
        <f t="shared" si="0"/>
        <v>392.92000000000007</v>
      </c>
      <c r="V28" s="24">
        <f t="shared" si="0"/>
        <v>97.409999999999854</v>
      </c>
      <c r="W28" s="24">
        <f t="shared" si="0"/>
        <v>-36.731999999999971</v>
      </c>
      <c r="X28" s="24">
        <f t="shared" si="0"/>
        <v>-147.12299999999959</v>
      </c>
      <c r="Y28" s="24">
        <f t="shared" si="0"/>
        <v>6.5429999999996653</v>
      </c>
      <c r="Z28" s="24">
        <f t="shared" si="0"/>
        <v>334.45900000000074</v>
      </c>
      <c r="AA28" s="24">
        <f t="shared" si="0"/>
        <v>309.90799999999945</v>
      </c>
      <c r="AB28" s="24">
        <f t="shared" si="0"/>
        <v>294.09799999999996</v>
      </c>
      <c r="AC28" s="24">
        <f t="shared" si="0"/>
        <v>-3.2369999999991705</v>
      </c>
      <c r="AD28" s="24">
        <f t="shared" si="0"/>
        <v>-127.13800000000083</v>
      </c>
      <c r="AE28" s="39">
        <f>AE16-AD16</f>
        <v>-435.5091002171921</v>
      </c>
      <c r="AF28" s="54">
        <f>AF16-AE16</f>
        <v>-420.60815928352895</v>
      </c>
      <c r="AG28" s="54">
        <f>AG16-AF16</f>
        <v>-406.21705394365199</v>
      </c>
    </row>
    <row r="29" spans="1:33" x14ac:dyDescent="0.2">
      <c r="B29" s="12" t="s">
        <v>32</v>
      </c>
      <c r="D29" s="24">
        <f>D13</f>
        <v>859.62800000000004</v>
      </c>
      <c r="E29" s="24">
        <f t="shared" ref="E29:AD29" si="1">E13</f>
        <v>785.73400000000004</v>
      </c>
      <c r="F29" s="24">
        <f t="shared" si="1"/>
        <v>730.779</v>
      </c>
      <c r="G29" s="24">
        <f t="shared" si="1"/>
        <v>729.50900000000001</v>
      </c>
      <c r="H29" s="24">
        <f t="shared" si="1"/>
        <v>640.54200000000003</v>
      </c>
      <c r="I29" s="24">
        <f t="shared" si="1"/>
        <v>653.54700000000003</v>
      </c>
      <c r="J29" s="24">
        <f t="shared" si="1"/>
        <v>723.91600000000005</v>
      </c>
      <c r="K29" s="24">
        <f t="shared" si="1"/>
        <v>740.36599999999999</v>
      </c>
      <c r="L29" s="24">
        <f t="shared" si="1"/>
        <v>788.53</v>
      </c>
      <c r="M29" s="24">
        <f t="shared" si="1"/>
        <v>848.34199999999998</v>
      </c>
      <c r="N29" s="24">
        <f t="shared" si="1"/>
        <v>865.14700000000005</v>
      </c>
      <c r="O29" s="24">
        <f t="shared" si="1"/>
        <v>918.88900000000001</v>
      </c>
      <c r="P29" s="24">
        <f t="shared" si="1"/>
        <v>866.38699999999994</v>
      </c>
      <c r="Q29" s="24">
        <f t="shared" si="1"/>
        <v>825.91700000000003</v>
      </c>
      <c r="R29" s="24">
        <f t="shared" si="1"/>
        <v>845.50300000000004</v>
      </c>
      <c r="S29" s="24">
        <f t="shared" si="1"/>
        <v>865.79399999999998</v>
      </c>
      <c r="T29" s="24">
        <f t="shared" si="1"/>
        <v>881.36</v>
      </c>
      <c r="U29" s="24">
        <f t="shared" si="1"/>
        <v>914.09400000000005</v>
      </c>
      <c r="V29" s="24">
        <f t="shared" si="1"/>
        <v>759.89300000000003</v>
      </c>
      <c r="W29" s="24">
        <f t="shared" si="1"/>
        <v>703.86</v>
      </c>
      <c r="X29" s="24">
        <f t="shared" si="1"/>
        <v>698.97799999999995</v>
      </c>
      <c r="Y29" s="24">
        <f t="shared" si="1"/>
        <v>747.51</v>
      </c>
      <c r="Z29" s="24">
        <f t="shared" si="1"/>
        <v>765.101</v>
      </c>
      <c r="AA29" s="24">
        <f t="shared" si="1"/>
        <v>757.08500000000004</v>
      </c>
      <c r="AB29" s="24">
        <f t="shared" si="1"/>
        <v>721.08600000000001</v>
      </c>
      <c r="AC29" s="24">
        <f t="shared" si="1"/>
        <v>659.14599999999996</v>
      </c>
      <c r="AD29" s="24">
        <f t="shared" si="1"/>
        <v>622.24</v>
      </c>
      <c r="AE29" s="39">
        <f>AE28+AE30</f>
        <v>793.80038976108881</v>
      </c>
      <c r="AF29" s="54">
        <f>AF28+AF30</f>
        <v>766.64051476639884</v>
      </c>
      <c r="AG29" s="54">
        <f>AG28+AG30</f>
        <v>740.40991471191069</v>
      </c>
    </row>
    <row r="30" spans="1:33" x14ac:dyDescent="0.2">
      <c r="B30" s="12" t="s">
        <v>33</v>
      </c>
      <c r="D30" s="24">
        <f>D29-D28</f>
        <v>737.82500000000016</v>
      </c>
      <c r="E30" s="24">
        <f t="shared" ref="E30:AD30" si="2">E29-E28</f>
        <v>908.41899999999953</v>
      </c>
      <c r="F30" s="24">
        <f t="shared" si="2"/>
        <v>703.99199999999973</v>
      </c>
      <c r="G30" s="24">
        <f t="shared" si="2"/>
        <v>826.10800000000017</v>
      </c>
      <c r="H30" s="24">
        <f t="shared" si="2"/>
        <v>733.37899999999956</v>
      </c>
      <c r="I30" s="24">
        <f t="shared" si="2"/>
        <v>837.82100000000128</v>
      </c>
      <c r="J30" s="24">
        <f t="shared" si="2"/>
        <v>735.82099999999889</v>
      </c>
      <c r="K30" s="24">
        <f t="shared" si="2"/>
        <v>722.67699999999968</v>
      </c>
      <c r="L30" s="24">
        <f t="shared" si="2"/>
        <v>728.27300000000037</v>
      </c>
      <c r="M30" s="24">
        <f t="shared" si="2"/>
        <v>981.9150000000003</v>
      </c>
      <c r="N30" s="24">
        <f t="shared" si="2"/>
        <v>583.59099999999955</v>
      </c>
      <c r="O30" s="24">
        <f t="shared" si="2"/>
        <v>874.70500000000072</v>
      </c>
      <c r="P30" s="24">
        <f t="shared" si="2"/>
        <v>830.05000000000041</v>
      </c>
      <c r="Q30" s="24">
        <f t="shared" si="2"/>
        <v>682.83799999999849</v>
      </c>
      <c r="R30" s="24">
        <f t="shared" si="2"/>
        <v>910.347000000001</v>
      </c>
      <c r="S30" s="24">
        <f t="shared" si="2"/>
        <v>727.97799999999927</v>
      </c>
      <c r="T30" s="24">
        <f t="shared" si="2"/>
        <v>536.38500000000147</v>
      </c>
      <c r="U30" s="24">
        <f t="shared" si="2"/>
        <v>521.17399999999998</v>
      </c>
      <c r="V30" s="24">
        <f t="shared" si="2"/>
        <v>662.48300000000017</v>
      </c>
      <c r="W30" s="24">
        <f t="shared" si="2"/>
        <v>740.59199999999998</v>
      </c>
      <c r="X30" s="24">
        <f t="shared" si="2"/>
        <v>846.10099999999954</v>
      </c>
      <c r="Y30" s="24">
        <f t="shared" si="2"/>
        <v>740.96700000000033</v>
      </c>
      <c r="Z30" s="24">
        <f t="shared" si="2"/>
        <v>430.64199999999926</v>
      </c>
      <c r="AA30" s="24">
        <f t="shared" si="2"/>
        <v>447.17700000000059</v>
      </c>
      <c r="AB30" s="24">
        <f t="shared" si="2"/>
        <v>426.98800000000006</v>
      </c>
      <c r="AC30" s="24">
        <f t="shared" si="2"/>
        <v>662.38299999999913</v>
      </c>
      <c r="AD30" s="24">
        <f t="shared" si="2"/>
        <v>749.37800000000084</v>
      </c>
      <c r="AE30" s="38">
        <f>AE16*retirerate</f>
        <v>1229.3094899782809</v>
      </c>
      <c r="AF30" s="56">
        <f>AF16*retirerate</f>
        <v>1187.2486740499278</v>
      </c>
      <c r="AG30" s="56">
        <f>AG16*retirerate</f>
        <v>1146.6269686555627</v>
      </c>
    </row>
    <row r="32" spans="1:33" x14ac:dyDescent="0.2">
      <c r="B32" s="12" t="s">
        <v>34</v>
      </c>
    </row>
    <row r="33" spans="2:31" x14ac:dyDescent="0.2">
      <c r="B33" s="12" t="s">
        <v>35</v>
      </c>
      <c r="D33" s="24">
        <f>C16+D29-D30</f>
        <v>11221.532999999999</v>
      </c>
      <c r="E33" s="24">
        <f t="shared" ref="E33:AD33" si="3">D16+E29-E30</f>
        <v>11098.848</v>
      </c>
      <c r="F33" s="24">
        <f t="shared" si="3"/>
        <v>11125.635</v>
      </c>
      <c r="G33" s="24">
        <f t="shared" si="3"/>
        <v>11029.036</v>
      </c>
      <c r="H33" s="24">
        <f t="shared" si="3"/>
        <v>10936.199000000001</v>
      </c>
      <c r="I33" s="24">
        <f t="shared" si="3"/>
        <v>10751.924999999999</v>
      </c>
      <c r="J33" s="24">
        <f t="shared" si="3"/>
        <v>10740.02</v>
      </c>
      <c r="K33" s="24">
        <f t="shared" si="3"/>
        <v>10757.709000000001</v>
      </c>
      <c r="L33" s="24">
        <f t="shared" si="3"/>
        <v>10817.966</v>
      </c>
      <c r="M33" s="24">
        <f t="shared" si="3"/>
        <v>10684.393</v>
      </c>
      <c r="N33" s="24">
        <f t="shared" si="3"/>
        <v>10965.949000000001</v>
      </c>
      <c r="O33" s="24">
        <f t="shared" si="3"/>
        <v>11010.133</v>
      </c>
      <c r="P33" s="24">
        <f t="shared" si="3"/>
        <v>11046.47</v>
      </c>
      <c r="Q33" s="24">
        <f t="shared" si="3"/>
        <v>11189.549000000001</v>
      </c>
      <c r="R33" s="24">
        <f t="shared" si="3"/>
        <v>11124.705</v>
      </c>
      <c r="S33" s="24">
        <f t="shared" si="3"/>
        <v>11262.521000000001</v>
      </c>
      <c r="T33" s="24">
        <f t="shared" si="3"/>
        <v>11607.495999999999</v>
      </c>
      <c r="U33" s="24">
        <f t="shared" si="3"/>
        <v>12000.416000000001</v>
      </c>
      <c r="V33" s="24">
        <f t="shared" si="3"/>
        <v>12097.825999999999</v>
      </c>
      <c r="W33" s="24">
        <f t="shared" si="3"/>
        <v>12061.093999999999</v>
      </c>
      <c r="X33" s="24">
        <f t="shared" si="3"/>
        <v>11913.971</v>
      </c>
      <c r="Y33" s="24">
        <f t="shared" si="3"/>
        <v>11920.513999999999</v>
      </c>
      <c r="Z33" s="24">
        <f t="shared" si="3"/>
        <v>12254.973</v>
      </c>
      <c r="AA33" s="24">
        <f t="shared" si="3"/>
        <v>12564.881000000001</v>
      </c>
      <c r="AB33" s="24">
        <f t="shared" si="3"/>
        <v>12858.978999999999</v>
      </c>
      <c r="AC33" s="24">
        <f t="shared" si="3"/>
        <v>12855.742</v>
      </c>
      <c r="AD33" s="24">
        <f t="shared" si="3"/>
        <v>12728.603999999999</v>
      </c>
    </row>
    <row r="35" spans="2:31" x14ac:dyDescent="0.2">
      <c r="B35" s="12" t="s">
        <v>36</v>
      </c>
      <c r="D35" s="33">
        <f>D30/C16</f>
        <v>6.6472337615419486E-2</v>
      </c>
      <c r="E35" s="33">
        <f t="shared" ref="E35:AD35" si="4">E30/D16</f>
        <v>8.0953199531650408E-2</v>
      </c>
      <c r="F35" s="33">
        <f t="shared" si="4"/>
        <v>6.3429285633968477E-2</v>
      </c>
      <c r="G35" s="33">
        <f t="shared" si="4"/>
        <v>7.4252660634651427E-2</v>
      </c>
      <c r="H35" s="33">
        <f t="shared" si="4"/>
        <v>6.6495294783696382E-2</v>
      </c>
      <c r="I35" s="33">
        <f t="shared" si="4"/>
        <v>7.6609889779803861E-2</v>
      </c>
      <c r="J35" s="33">
        <f t="shared" si="4"/>
        <v>6.8436210260023111E-2</v>
      </c>
      <c r="K35" s="33">
        <f t="shared" si="4"/>
        <v>6.7288235962316617E-2</v>
      </c>
      <c r="L35" s="33">
        <f t="shared" si="4"/>
        <v>6.7697778402446132E-2</v>
      </c>
      <c r="M35" s="33">
        <f t="shared" si="4"/>
        <v>9.0767062865607109E-2</v>
      </c>
      <c r="N35" s="33">
        <f t="shared" si="4"/>
        <v>5.4620884873852873E-2</v>
      </c>
      <c r="O35" s="33">
        <f t="shared" si="4"/>
        <v>7.9765554262563196E-2</v>
      </c>
      <c r="P35" s="33">
        <f t="shared" si="4"/>
        <v>7.5389643340366588E-2</v>
      </c>
      <c r="Q35" s="33">
        <f t="shared" si="4"/>
        <v>6.1815041366155753E-2</v>
      </c>
      <c r="R35" s="33">
        <f t="shared" si="4"/>
        <v>8.1356898298582087E-2</v>
      </c>
      <c r="S35" s="33">
        <f t="shared" si="4"/>
        <v>6.5437959927926115E-2</v>
      </c>
      <c r="T35" s="33">
        <f t="shared" si="4"/>
        <v>4.7625660365028528E-2</v>
      </c>
      <c r="U35" s="33">
        <f t="shared" si="4"/>
        <v>4.4899778556891166E-2</v>
      </c>
      <c r="V35" s="33">
        <f t="shared" si="4"/>
        <v>5.5205002893233053E-2</v>
      </c>
      <c r="W35" s="33">
        <f t="shared" si="4"/>
        <v>6.121694922707601E-2</v>
      </c>
      <c r="X35" s="33">
        <f t="shared" si="4"/>
        <v>7.0151264885258302E-2</v>
      </c>
      <c r="Y35" s="33">
        <f t="shared" si="4"/>
        <v>6.2193117643143531E-2</v>
      </c>
      <c r="Z35" s="33">
        <f t="shared" si="4"/>
        <v>3.6126126776076878E-2</v>
      </c>
      <c r="AA35" s="33">
        <f t="shared" si="4"/>
        <v>3.6489431678062498E-2</v>
      </c>
      <c r="AB35" s="33">
        <f t="shared" si="4"/>
        <v>3.3982653715542557E-2</v>
      </c>
      <c r="AC35" s="33">
        <f t="shared" si="4"/>
        <v>5.1511321388735383E-2</v>
      </c>
      <c r="AD35" s="33">
        <f t="shared" si="4"/>
        <v>5.8291306717263056E-2</v>
      </c>
      <c r="AE35" s="34"/>
    </row>
  </sheetData>
  <sheetProtection algorithmName="SHA-512" hashValue="G4zWYpT4nYAxrbGwHYwzYGSEQKAEbw0Z3gd3hGxSQCbeP5a1GY4Zx3eHkuOgbxezVQV5te4gWmbm2MOqwHvWKQ==" saltValue="J6a9qj5N6Y+cWv3GHKjdEA==" spinCount="100000" sheet="1" objects="1" scenarios="1"/>
  <phoneticPr fontId="0" type="noConversion"/>
  <pageMargins left="0.5" right="0.5" top="0.75" bottom="0.75" header="0.5" footer="0.35"/>
  <pageSetup paperSize="5" scale="65" orientation="landscape" r:id="rId1"/>
  <headerFooter alignWithMargins="0">
    <oddFooter>&amp;LOffice of Energy Efficiency, Demand Policy and Analysis Division, Market Analysis Group.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3">
    <tabColor rgb="FF92D050"/>
    <pageSetUpPr fitToPage="1"/>
  </sheetPr>
  <dimension ref="A1:AH80"/>
  <sheetViews>
    <sheetView zoomScale="80" zoomScaleNormal="80" zoomScaleSheetLayoutView="40" workbookViewId="0">
      <selection activeCell="I34" sqref="I34"/>
    </sheetView>
  </sheetViews>
  <sheetFormatPr defaultRowHeight="12.75" x14ac:dyDescent="0.2"/>
  <cols>
    <col min="1" max="1" width="3" customWidth="1"/>
    <col min="2" max="2" width="40.28515625" customWidth="1"/>
    <col min="3" max="3" width="7.140625" bestFit="1" customWidth="1"/>
    <col min="4" max="4" width="26.28515625" bestFit="1" customWidth="1"/>
    <col min="5" max="8" width="7.140625" bestFit="1" customWidth="1"/>
    <col min="9" max="9" width="7.42578125" bestFit="1" customWidth="1"/>
    <col min="10" max="13" width="7.140625" bestFit="1" customWidth="1"/>
    <col min="14" max="14" width="7.42578125" bestFit="1" customWidth="1"/>
    <col min="15" max="19" width="7.140625" bestFit="1" customWidth="1"/>
    <col min="20" max="20" width="7.42578125" style="7" bestFit="1" customWidth="1"/>
    <col min="21" max="21" width="7.140625" style="7" bestFit="1" customWidth="1"/>
    <col min="22" max="22" width="7.42578125" style="7" bestFit="1" customWidth="1"/>
    <col min="23" max="28" width="7.140625" style="7" bestFit="1" customWidth="1"/>
    <col min="29" max="29" width="7.42578125" style="7" bestFit="1" customWidth="1"/>
    <col min="30" max="30" width="34.42578125" style="7" bestFit="1" customWidth="1"/>
    <col min="31" max="32" width="8.5703125" bestFit="1" customWidth="1"/>
    <col min="33" max="33" width="22.85546875" bestFit="1" customWidth="1"/>
  </cols>
  <sheetData>
    <row r="1" spans="1:33" ht="18" x14ac:dyDescent="0.25">
      <c r="A1" s="2" t="s">
        <v>0</v>
      </c>
      <c r="D1" t="s">
        <v>218</v>
      </c>
      <c r="M1" s="3"/>
      <c r="N1" s="3"/>
      <c r="O1" s="3"/>
      <c r="P1" s="3"/>
      <c r="Q1" s="3"/>
      <c r="R1" s="3"/>
      <c r="S1" s="3"/>
      <c r="T1" s="10"/>
      <c r="V1" s="10"/>
      <c r="W1" s="10"/>
      <c r="X1" s="10"/>
      <c r="Y1" s="10"/>
      <c r="AA1" s="10"/>
      <c r="AB1" s="10"/>
      <c r="AC1" s="10"/>
      <c r="AD1" s="10" t="s">
        <v>30</v>
      </c>
    </row>
    <row r="2" spans="1:33" ht="15.75" x14ac:dyDescent="0.25">
      <c r="AG2" s="51" t="s">
        <v>49</v>
      </c>
    </row>
    <row r="3" spans="1:33" ht="15.75" x14ac:dyDescent="0.25">
      <c r="A3" s="4" t="s">
        <v>21</v>
      </c>
      <c r="M3" s="3"/>
      <c r="N3" s="3"/>
      <c r="O3" s="3"/>
      <c r="AG3" s="42"/>
    </row>
    <row r="4" spans="1:33" ht="15.75" x14ac:dyDescent="0.25">
      <c r="A4" s="4" t="s">
        <v>29</v>
      </c>
      <c r="B4" s="1"/>
      <c r="C4" s="1"/>
      <c r="D4" s="1"/>
      <c r="E4" s="1"/>
      <c r="F4" s="1"/>
      <c r="G4" s="1"/>
      <c r="H4" s="5"/>
      <c r="I4" s="5"/>
      <c r="J4" s="5"/>
      <c r="K4" s="5"/>
      <c r="L4" s="6"/>
      <c r="M4" s="6"/>
      <c r="N4" s="6"/>
      <c r="O4" s="6"/>
      <c r="AG4" s="42"/>
    </row>
    <row r="5" spans="1:33" x14ac:dyDescent="0.2">
      <c r="AG5" s="42"/>
    </row>
    <row r="6" spans="1:33" ht="12.75" customHeight="1" x14ac:dyDescent="0.25">
      <c r="C6" s="5"/>
      <c r="D6" s="5"/>
      <c r="E6" s="6"/>
      <c r="F6" s="6"/>
      <c r="H6" s="7"/>
      <c r="I6" s="7"/>
      <c r="J6" s="7"/>
      <c r="K6" s="7"/>
      <c r="L6" s="6"/>
      <c r="AG6" s="42"/>
    </row>
    <row r="7" spans="1:33" x14ac:dyDescent="0.2">
      <c r="C7" s="23">
        <v>1990</v>
      </c>
      <c r="D7" s="23">
        <v>1991</v>
      </c>
      <c r="E7" s="23">
        <v>1992</v>
      </c>
      <c r="F7" s="23">
        <v>1993</v>
      </c>
      <c r="G7" s="23">
        <v>1994</v>
      </c>
      <c r="H7" s="23">
        <v>1995</v>
      </c>
      <c r="I7" s="23">
        <v>1996</v>
      </c>
      <c r="J7" s="23">
        <v>1997</v>
      </c>
      <c r="K7" s="23">
        <v>1998</v>
      </c>
      <c r="L7" s="23">
        <v>1999</v>
      </c>
      <c r="M7" s="23">
        <v>2000</v>
      </c>
      <c r="N7" s="23">
        <v>2001</v>
      </c>
      <c r="O7" s="23">
        <v>2002</v>
      </c>
      <c r="P7" s="23">
        <v>2003</v>
      </c>
      <c r="Q7" s="23">
        <v>2004</v>
      </c>
      <c r="R7" s="23">
        <v>2005</v>
      </c>
      <c r="S7" s="23">
        <v>2006</v>
      </c>
      <c r="T7" s="29">
        <v>2007</v>
      </c>
      <c r="U7" s="29">
        <v>2008</v>
      </c>
      <c r="V7" s="29">
        <v>2009</v>
      </c>
      <c r="W7" s="29">
        <v>2010</v>
      </c>
      <c r="X7" s="29">
        <v>2011</v>
      </c>
      <c r="Y7" s="29">
        <v>2012</v>
      </c>
      <c r="Z7" s="29">
        <v>2013</v>
      </c>
      <c r="AA7" s="29">
        <v>2014</v>
      </c>
      <c r="AB7" s="29">
        <v>2015</v>
      </c>
      <c r="AC7" s="29">
        <v>2016</v>
      </c>
      <c r="AD7" s="29">
        <v>2017</v>
      </c>
      <c r="AE7" s="35">
        <v>2018</v>
      </c>
      <c r="AF7">
        <f>AE7+1</f>
        <v>2019</v>
      </c>
      <c r="AG7" s="42">
        <f>AF7+1</f>
        <v>2020</v>
      </c>
    </row>
    <row r="8" spans="1:33" x14ac:dyDescent="0.2">
      <c r="AG8" s="42"/>
    </row>
    <row r="9" spans="1:33" x14ac:dyDescent="0.2">
      <c r="B9" s="14" t="s">
        <v>15</v>
      </c>
      <c r="AG9" s="42"/>
    </row>
    <row r="10" spans="1:33" x14ac:dyDescent="0.2">
      <c r="B10" s="21" t="s">
        <v>12</v>
      </c>
      <c r="C10" s="28">
        <v>281.83</v>
      </c>
      <c r="D10" s="28">
        <v>269.947</v>
      </c>
      <c r="E10" s="28">
        <v>280.46300000000002</v>
      </c>
      <c r="F10" s="28">
        <v>303.67099999999999</v>
      </c>
      <c r="G10" s="28">
        <v>341.97899999999998</v>
      </c>
      <c r="H10" s="28">
        <v>331.01799999999997</v>
      </c>
      <c r="I10" s="28">
        <v>369.79599999999999</v>
      </c>
      <c r="J10" s="28">
        <v>465.82799999999997</v>
      </c>
      <c r="K10" s="28">
        <v>488.31599999999997</v>
      </c>
      <c r="L10" s="28">
        <v>481.00599999999997</v>
      </c>
      <c r="M10" s="28">
        <v>473.39699999999999</v>
      </c>
      <c r="N10" s="28">
        <v>472.66899999999998</v>
      </c>
      <c r="O10" s="28">
        <v>516.03200000000004</v>
      </c>
      <c r="P10" s="28">
        <v>496.70400000000001</v>
      </c>
      <c r="Q10" s="28">
        <v>482.69099999999997</v>
      </c>
      <c r="R10" s="28">
        <v>493.44099999999997</v>
      </c>
      <c r="S10" s="28">
        <v>499.09500000000003</v>
      </c>
      <c r="T10" s="31">
        <v>541.923</v>
      </c>
      <c r="U10" s="31">
        <v>523.96100000000001</v>
      </c>
      <c r="V10" s="31">
        <v>484.286</v>
      </c>
      <c r="W10" s="31">
        <v>587.08000000000004</v>
      </c>
      <c r="X10" s="31">
        <v>601.78300000000002</v>
      </c>
      <c r="Y10" s="31">
        <v>608.40200000000004</v>
      </c>
      <c r="Z10" s="31">
        <v>652.99099999999999</v>
      </c>
      <c r="AA10" s="31">
        <v>719.3</v>
      </c>
      <c r="AB10" s="31">
        <v>793.59699999999998</v>
      </c>
      <c r="AC10" s="31">
        <v>858.43200000000002</v>
      </c>
      <c r="AD10" s="31">
        <v>921.04200000000003</v>
      </c>
      <c r="AE10" s="36">
        <f t="shared" ref="AE10:AG13" si="0">AE34-AD34+AE46</f>
        <v>1480.4362511284653</v>
      </c>
      <c r="AF10" s="36">
        <f t="shared" si="0"/>
        <v>1557.3379206569505</v>
      </c>
      <c r="AG10" s="52">
        <f>AG34-AF34+AG46</f>
        <v>1638.2342686268464</v>
      </c>
    </row>
    <row r="11" spans="1:33" x14ac:dyDescent="0.2">
      <c r="B11" s="21" t="s">
        <v>13</v>
      </c>
      <c r="C11" s="28">
        <v>101.545</v>
      </c>
      <c r="D11" s="28">
        <v>96.816999999999993</v>
      </c>
      <c r="E11" s="28">
        <v>99.340999999999994</v>
      </c>
      <c r="F11" s="28">
        <v>106.964</v>
      </c>
      <c r="G11" s="28">
        <v>119.801</v>
      </c>
      <c r="H11" s="28">
        <v>114.33</v>
      </c>
      <c r="I11" s="28">
        <v>126.94799999999999</v>
      </c>
      <c r="J11" s="28">
        <v>159.20099999999999</v>
      </c>
      <c r="K11" s="28">
        <v>165.33500000000001</v>
      </c>
      <c r="L11" s="28">
        <v>161.739</v>
      </c>
      <c r="M11" s="28">
        <v>159.26300000000001</v>
      </c>
      <c r="N11" s="28">
        <v>158.79300000000001</v>
      </c>
      <c r="O11" s="28">
        <v>172.86500000000001</v>
      </c>
      <c r="P11" s="28">
        <v>165.23699999999999</v>
      </c>
      <c r="Q11" s="28">
        <v>160.196</v>
      </c>
      <c r="R11" s="28">
        <v>163.45599999999999</v>
      </c>
      <c r="S11" s="28">
        <v>164.666</v>
      </c>
      <c r="T11" s="31">
        <v>179.43700000000001</v>
      </c>
      <c r="U11" s="31">
        <v>174.89500000000001</v>
      </c>
      <c r="V11" s="31">
        <v>161.97499999999999</v>
      </c>
      <c r="W11" s="31">
        <v>196.12899999999999</v>
      </c>
      <c r="X11" s="31">
        <v>200.905</v>
      </c>
      <c r="Y11" s="31">
        <v>202.63</v>
      </c>
      <c r="Z11" s="31">
        <v>217.39</v>
      </c>
      <c r="AA11" s="31">
        <v>239.85300000000001</v>
      </c>
      <c r="AB11" s="31">
        <v>264.54700000000003</v>
      </c>
      <c r="AC11" s="31">
        <v>285.45800000000003</v>
      </c>
      <c r="AD11" s="31">
        <v>305.49</v>
      </c>
      <c r="AE11" s="36">
        <f t="shared" si="0"/>
        <v>491.20639200000005</v>
      </c>
      <c r="AF11" s="36">
        <f t="shared" si="0"/>
        <v>516.74912438399997</v>
      </c>
      <c r="AG11" s="52">
        <f t="shared" si="0"/>
        <v>543.62007885196829</v>
      </c>
    </row>
    <row r="12" spans="1:33" x14ac:dyDescent="0.2">
      <c r="B12" s="21" t="s">
        <v>8</v>
      </c>
      <c r="C12" s="28">
        <v>40.015000000000001</v>
      </c>
      <c r="D12" s="28">
        <v>39.840000000000003</v>
      </c>
      <c r="E12" s="28">
        <v>44.110999999999997</v>
      </c>
      <c r="F12" s="28">
        <v>45.756</v>
      </c>
      <c r="G12" s="28">
        <v>45.834000000000003</v>
      </c>
      <c r="H12" s="28">
        <v>44.002000000000002</v>
      </c>
      <c r="I12" s="28">
        <v>49.558</v>
      </c>
      <c r="J12" s="28">
        <v>58.399000000000001</v>
      </c>
      <c r="K12" s="28">
        <v>63.764000000000003</v>
      </c>
      <c r="L12" s="28">
        <v>64.89</v>
      </c>
      <c r="M12" s="28">
        <v>63.487000000000002</v>
      </c>
      <c r="N12" s="28">
        <v>66.245000000000005</v>
      </c>
      <c r="O12" s="28">
        <v>69.378</v>
      </c>
      <c r="P12" s="28">
        <v>69.611000000000004</v>
      </c>
      <c r="Q12" s="28">
        <v>69.384</v>
      </c>
      <c r="R12" s="28">
        <v>75.260999999999996</v>
      </c>
      <c r="S12" s="28">
        <v>109.812</v>
      </c>
      <c r="T12" s="31">
        <v>125.446</v>
      </c>
      <c r="U12" s="31">
        <v>113.456</v>
      </c>
      <c r="V12" s="31">
        <v>90.89</v>
      </c>
      <c r="W12" s="31">
        <v>109.761</v>
      </c>
      <c r="X12" s="31">
        <v>119.17</v>
      </c>
      <c r="Y12" s="31">
        <v>121.40600000000001</v>
      </c>
      <c r="Z12" s="31">
        <v>126.88</v>
      </c>
      <c r="AA12" s="31">
        <v>135.95099999999999</v>
      </c>
      <c r="AB12" s="31">
        <v>124.334</v>
      </c>
      <c r="AC12" s="31">
        <v>133.518</v>
      </c>
      <c r="AD12" s="31">
        <v>135.238</v>
      </c>
      <c r="AE12" s="36">
        <f t="shared" si="0"/>
        <v>195.82418700000017</v>
      </c>
      <c r="AF12" s="36">
        <f t="shared" si="0"/>
        <v>204.04880285400012</v>
      </c>
      <c r="AG12" s="52">
        <f t="shared" si="0"/>
        <v>212.618852573868</v>
      </c>
    </row>
    <row r="13" spans="1:33" x14ac:dyDescent="0.2">
      <c r="B13" s="21" t="s">
        <v>9</v>
      </c>
      <c r="C13" s="28">
        <v>16.291</v>
      </c>
      <c r="D13" s="28">
        <v>10.557</v>
      </c>
      <c r="E13" s="28">
        <v>12.37</v>
      </c>
      <c r="F13" s="28">
        <v>18.347000000000001</v>
      </c>
      <c r="G13" s="28">
        <v>22.978999999999999</v>
      </c>
      <c r="H13" s="28">
        <v>25.547000000000001</v>
      </c>
      <c r="I13" s="28">
        <v>21.600999999999999</v>
      </c>
      <c r="J13" s="28">
        <v>26.99</v>
      </c>
      <c r="K13" s="28">
        <v>27.786000000000001</v>
      </c>
      <c r="L13" s="28">
        <v>31.523</v>
      </c>
      <c r="M13" s="28">
        <v>28.763000000000002</v>
      </c>
      <c r="N13" s="28">
        <v>22.155000000000001</v>
      </c>
      <c r="O13" s="28">
        <v>25.457999999999998</v>
      </c>
      <c r="P13" s="28">
        <v>24.356000000000002</v>
      </c>
      <c r="Q13" s="28">
        <v>30.385000000000002</v>
      </c>
      <c r="R13" s="28">
        <v>34.482999999999997</v>
      </c>
      <c r="S13" s="28">
        <v>37.692</v>
      </c>
      <c r="T13" s="31">
        <v>29.248000000000001</v>
      </c>
      <c r="U13" s="31">
        <v>26.808</v>
      </c>
      <c r="V13" s="31">
        <v>15.467000000000001</v>
      </c>
      <c r="W13" s="31">
        <v>19.53</v>
      </c>
      <c r="X13" s="31">
        <v>26.576000000000001</v>
      </c>
      <c r="Y13" s="31">
        <v>32.511000000000003</v>
      </c>
      <c r="Z13" s="31">
        <v>29.786999999999999</v>
      </c>
      <c r="AA13" s="31">
        <v>30.273</v>
      </c>
      <c r="AB13" s="31">
        <v>30.231000000000002</v>
      </c>
      <c r="AC13" s="31">
        <v>24.251000000000001</v>
      </c>
      <c r="AD13" s="31">
        <v>27.295999999999999</v>
      </c>
      <c r="AE13" s="36">
        <f t="shared" si="0"/>
        <v>44.701394999999998</v>
      </c>
      <c r="AF13" s="36">
        <f t="shared" si="0"/>
        <v>45.595422899999988</v>
      </c>
      <c r="AG13" s="52">
        <f t="shared" si="0"/>
        <v>46.507331358000016</v>
      </c>
    </row>
    <row r="14" spans="1:33" x14ac:dyDescent="0.2">
      <c r="B14" s="21"/>
      <c r="C14" s="28"/>
      <c r="D14" s="28"/>
      <c r="E14" s="28"/>
      <c r="F14" s="28"/>
      <c r="G14" s="28"/>
      <c r="H14" s="28"/>
      <c r="I14" s="28"/>
      <c r="J14" s="28"/>
      <c r="K14" s="28"/>
      <c r="L14" s="28"/>
      <c r="M14" s="28"/>
      <c r="N14" s="28"/>
      <c r="O14" s="28"/>
      <c r="P14" s="28"/>
      <c r="Q14" s="28"/>
      <c r="R14" s="28"/>
      <c r="S14" s="28"/>
      <c r="T14" s="31"/>
      <c r="U14" s="31"/>
      <c r="V14" s="31"/>
      <c r="W14" s="31"/>
      <c r="X14" s="31"/>
      <c r="Y14" s="31"/>
      <c r="Z14" s="31"/>
      <c r="AA14" s="31"/>
      <c r="AB14" s="31"/>
      <c r="AC14" s="31"/>
      <c r="AD14" s="31"/>
      <c r="AE14" s="36"/>
      <c r="AF14" s="36"/>
      <c r="AG14" s="52"/>
    </row>
    <row r="15" spans="1:33" x14ac:dyDescent="0.2">
      <c r="B15" s="14" t="s">
        <v>41</v>
      </c>
      <c r="C15" s="28"/>
      <c r="D15" s="28"/>
      <c r="E15" s="28"/>
      <c r="F15" s="28"/>
      <c r="G15" s="28"/>
      <c r="H15" s="28"/>
      <c r="I15" s="28"/>
      <c r="J15" s="28"/>
      <c r="K15" s="28"/>
      <c r="L15" s="28"/>
      <c r="M15" s="28"/>
      <c r="N15" s="28"/>
      <c r="O15" s="28"/>
      <c r="P15" s="28"/>
      <c r="Q15" s="28"/>
      <c r="R15" s="28"/>
      <c r="S15" s="28"/>
      <c r="T15" s="31"/>
      <c r="U15" s="31"/>
      <c r="V15" s="31"/>
      <c r="W15" s="31"/>
      <c r="X15" s="31"/>
      <c r="Y15" s="31"/>
      <c r="Z15" s="31"/>
      <c r="AA15" s="31"/>
      <c r="AB15" s="31"/>
      <c r="AC15" s="31"/>
      <c r="AD15" s="31"/>
      <c r="AE15" s="36"/>
      <c r="AF15" s="36"/>
      <c r="AG15" s="52"/>
    </row>
    <row r="16" spans="1:33" x14ac:dyDescent="0.2">
      <c r="B16" s="21" t="str">
        <f>B10</f>
        <v>Passenger Light Trucks</v>
      </c>
      <c r="C16" s="28"/>
      <c r="D16" s="28"/>
      <c r="E16" s="28"/>
      <c r="F16" s="28"/>
      <c r="G16" s="28"/>
      <c r="H16" s="28"/>
      <c r="I16" s="28"/>
      <c r="J16" s="28"/>
      <c r="K16" s="28"/>
      <c r="L16" s="28"/>
      <c r="M16" s="28"/>
      <c r="N16" s="28"/>
      <c r="O16" s="28"/>
      <c r="P16" s="28"/>
      <c r="Q16" s="28"/>
      <c r="R16" s="28"/>
      <c r="S16" s="28"/>
      <c r="T16" s="31"/>
      <c r="U16" s="31"/>
      <c r="V16" s="31"/>
      <c r="W16" s="31"/>
      <c r="X16" s="31"/>
      <c r="Y16" s="31"/>
      <c r="Z16" s="31"/>
      <c r="AA16" s="31"/>
      <c r="AB16" s="31"/>
      <c r="AC16" s="31"/>
      <c r="AD16" s="31"/>
      <c r="AE16" s="36"/>
      <c r="AF16" s="36"/>
      <c r="AG16" s="53">
        <v>0</v>
      </c>
    </row>
    <row r="17" spans="2:33" x14ac:dyDescent="0.2">
      <c r="B17" s="21" t="str">
        <f>B11</f>
        <v>Freight Light Trucks</v>
      </c>
      <c r="C17" s="28"/>
      <c r="D17" s="28"/>
      <c r="E17" s="28"/>
      <c r="F17" s="28"/>
      <c r="G17" s="28"/>
      <c r="H17" s="28"/>
      <c r="I17" s="28"/>
      <c r="J17" s="28"/>
      <c r="K17" s="28"/>
      <c r="L17" s="28"/>
      <c r="M17" s="28"/>
      <c r="N17" s="28"/>
      <c r="O17" s="28"/>
      <c r="P17" s="28"/>
      <c r="Q17" s="28"/>
      <c r="R17" s="28"/>
      <c r="S17" s="28"/>
      <c r="T17" s="31"/>
      <c r="U17" s="31"/>
      <c r="V17" s="31"/>
      <c r="W17" s="31"/>
      <c r="X17" s="31"/>
      <c r="Y17" s="31"/>
      <c r="Z17" s="31"/>
      <c r="AA17" s="31"/>
      <c r="AB17" s="31"/>
      <c r="AC17" s="31"/>
      <c r="AD17" s="31"/>
      <c r="AE17" s="36"/>
      <c r="AF17" s="36"/>
      <c r="AG17" s="53">
        <v>0</v>
      </c>
    </row>
    <row r="18" spans="2:33" x14ac:dyDescent="0.2">
      <c r="B18" s="21" t="str">
        <f>B12</f>
        <v>Medium Trucks</v>
      </c>
      <c r="C18" s="28"/>
      <c r="D18" s="28"/>
      <c r="E18" s="28"/>
      <c r="F18" s="28"/>
      <c r="G18" s="28"/>
      <c r="H18" s="28"/>
      <c r="I18" s="28"/>
      <c r="J18" s="28"/>
      <c r="K18" s="28"/>
      <c r="L18" s="28"/>
      <c r="M18" s="28"/>
      <c r="N18" s="28"/>
      <c r="O18" s="28"/>
      <c r="P18" s="28"/>
      <c r="Q18" s="28"/>
      <c r="R18" s="28"/>
      <c r="S18" s="28"/>
      <c r="T18" s="31"/>
      <c r="U18" s="31"/>
      <c r="V18" s="31"/>
      <c r="W18" s="31"/>
      <c r="X18" s="31"/>
      <c r="Y18" s="31"/>
      <c r="Z18" s="31"/>
      <c r="AA18" s="31"/>
      <c r="AB18" s="31"/>
      <c r="AC18" s="31"/>
      <c r="AD18" s="31"/>
      <c r="AE18" s="36"/>
      <c r="AF18" s="36"/>
      <c r="AG18" s="53">
        <v>0</v>
      </c>
    </row>
    <row r="19" spans="2:33" x14ac:dyDescent="0.2">
      <c r="B19" s="21" t="str">
        <f>B13</f>
        <v>Heavy Trucks</v>
      </c>
      <c r="C19" s="28"/>
      <c r="D19" s="28"/>
      <c r="E19" s="28"/>
      <c r="F19" s="28"/>
      <c r="G19" s="28"/>
      <c r="H19" s="28"/>
      <c r="I19" s="28"/>
      <c r="J19" s="28"/>
      <c r="K19" s="28"/>
      <c r="L19" s="28"/>
      <c r="M19" s="28"/>
      <c r="N19" s="28"/>
      <c r="O19" s="28"/>
      <c r="P19" s="28"/>
      <c r="Q19" s="28"/>
      <c r="R19" s="28"/>
      <c r="S19" s="28"/>
      <c r="T19" s="31"/>
      <c r="U19" s="31"/>
      <c r="V19" s="31"/>
      <c r="W19" s="31"/>
      <c r="X19" s="31"/>
      <c r="Y19" s="31"/>
      <c r="Z19" s="31"/>
      <c r="AA19" s="31"/>
      <c r="AB19" s="31"/>
      <c r="AC19" s="31"/>
      <c r="AD19" s="31"/>
      <c r="AE19" s="36"/>
      <c r="AF19" s="36"/>
      <c r="AG19" s="53">
        <v>0</v>
      </c>
    </row>
    <row r="20" spans="2:33" x14ac:dyDescent="0.2">
      <c r="B20" s="21"/>
      <c r="C20" s="28"/>
      <c r="D20" s="28"/>
      <c r="E20" s="28"/>
      <c r="F20" s="28"/>
      <c r="G20" s="28"/>
      <c r="H20" s="28"/>
      <c r="I20" s="28"/>
      <c r="J20" s="28"/>
      <c r="K20" s="28"/>
      <c r="L20" s="28"/>
      <c r="M20" s="28"/>
      <c r="N20" s="28"/>
      <c r="O20" s="28"/>
      <c r="P20" s="28"/>
      <c r="Q20" s="28"/>
      <c r="R20" s="28"/>
      <c r="S20" s="28"/>
      <c r="T20" s="31"/>
      <c r="U20" s="31"/>
      <c r="V20" s="31"/>
      <c r="W20" s="31"/>
      <c r="X20" s="31"/>
      <c r="Y20" s="31"/>
      <c r="Z20" s="31"/>
      <c r="AA20" s="31"/>
      <c r="AB20" s="31"/>
      <c r="AC20" s="31"/>
      <c r="AD20" s="31"/>
      <c r="AG20" s="42"/>
    </row>
    <row r="21" spans="2:33" x14ac:dyDescent="0.2">
      <c r="B21" s="14" t="s">
        <v>40</v>
      </c>
      <c r="C21" s="28"/>
      <c r="E21" s="28"/>
      <c r="F21" s="28"/>
      <c r="G21" s="28"/>
      <c r="H21" s="28"/>
      <c r="I21" s="28"/>
      <c r="J21" s="28"/>
      <c r="K21" s="28"/>
      <c r="L21" s="28"/>
      <c r="M21" s="28"/>
      <c r="N21" s="28"/>
      <c r="O21" s="28"/>
      <c r="P21" s="28"/>
      <c r="Q21" s="28"/>
      <c r="R21" s="28"/>
      <c r="S21" s="28"/>
      <c r="T21" s="31"/>
      <c r="U21" s="31"/>
      <c r="V21" s="31"/>
      <c r="W21" s="31"/>
      <c r="X21" s="31"/>
      <c r="Y21" s="31"/>
      <c r="Z21" s="31"/>
      <c r="AA21" s="31"/>
      <c r="AB21" s="31"/>
      <c r="AC21" s="31"/>
      <c r="AD21" s="31"/>
      <c r="AG21" s="42"/>
    </row>
    <row r="22" spans="2:33" x14ac:dyDescent="0.2">
      <c r="B22" s="20" t="str">
        <f>B10</f>
        <v>Passenger Light Trucks</v>
      </c>
      <c r="C22" s="28"/>
      <c r="D22" s="33">
        <f t="shared" ref="D22:AD22" si="1">D10/C10-1</f>
        <v>-4.2163715715147321E-2</v>
      </c>
      <c r="E22" s="33">
        <f t="shared" si="1"/>
        <v>3.8955795026431206E-2</v>
      </c>
      <c r="F22" s="33">
        <f t="shared" si="1"/>
        <v>8.2748883096879E-2</v>
      </c>
      <c r="G22" s="33">
        <f t="shared" si="1"/>
        <v>0.12614968172792262</v>
      </c>
      <c r="H22" s="33">
        <f t="shared" si="1"/>
        <v>-3.2051675687688519E-2</v>
      </c>
      <c r="I22" s="33">
        <f t="shared" si="1"/>
        <v>0.11714770797962659</v>
      </c>
      <c r="J22" s="33">
        <f t="shared" si="1"/>
        <v>0.25968912589644022</v>
      </c>
      <c r="K22" s="33">
        <f t="shared" si="1"/>
        <v>4.8275329091424402E-2</v>
      </c>
      <c r="L22" s="33">
        <f t="shared" si="1"/>
        <v>-1.4969814628232547E-2</v>
      </c>
      <c r="M22" s="33">
        <f t="shared" si="1"/>
        <v>-1.5818929493602973E-2</v>
      </c>
      <c r="N22" s="33">
        <f t="shared" si="1"/>
        <v>-1.5378213212167147E-3</v>
      </c>
      <c r="O22" s="33">
        <f t="shared" si="1"/>
        <v>9.1740731886372995E-2</v>
      </c>
      <c r="P22" s="33">
        <f t="shared" si="1"/>
        <v>-3.7455041547811097E-2</v>
      </c>
      <c r="Q22" s="33">
        <f t="shared" si="1"/>
        <v>-2.8211973328179374E-2</v>
      </c>
      <c r="R22" s="33">
        <f t="shared" si="1"/>
        <v>2.2270976670375031E-2</v>
      </c>
      <c r="S22" s="33">
        <f t="shared" si="1"/>
        <v>1.1458310112050007E-2</v>
      </c>
      <c r="T22" s="33">
        <f t="shared" si="1"/>
        <v>8.5811318486460397E-2</v>
      </c>
      <c r="U22" s="33">
        <f t="shared" si="1"/>
        <v>-3.3144930183808374E-2</v>
      </c>
      <c r="V22" s="33">
        <f t="shared" si="1"/>
        <v>-7.5721284599426286E-2</v>
      </c>
      <c r="W22" s="33">
        <f t="shared" si="1"/>
        <v>0.21225887182367442</v>
      </c>
      <c r="X22" s="33">
        <f t="shared" si="1"/>
        <v>2.5044286979627906E-2</v>
      </c>
      <c r="Y22" s="33">
        <f t="shared" si="1"/>
        <v>1.0998981360390792E-2</v>
      </c>
      <c r="Z22" s="33">
        <f t="shared" si="1"/>
        <v>7.3288713712315046E-2</v>
      </c>
      <c r="AA22" s="33">
        <f t="shared" si="1"/>
        <v>0.10154657568021608</v>
      </c>
      <c r="AB22" s="33">
        <f t="shared" si="1"/>
        <v>0.10329069929097745</v>
      </c>
      <c r="AC22" s="33">
        <f t="shared" si="1"/>
        <v>8.1697637465867556E-2</v>
      </c>
      <c r="AD22" s="33">
        <f t="shared" si="1"/>
        <v>7.293530530082748E-2</v>
      </c>
      <c r="AG22" s="42"/>
    </row>
    <row r="23" spans="2:33" x14ac:dyDescent="0.2">
      <c r="B23" s="20" t="str">
        <f>B11</f>
        <v>Freight Light Trucks</v>
      </c>
      <c r="C23" s="28"/>
      <c r="D23" s="33">
        <f t="shared" ref="D23:AD23" si="2">D11/C11-1</f>
        <v>-4.6560638140725863E-2</v>
      </c>
      <c r="E23" s="33">
        <f t="shared" si="2"/>
        <v>2.6069801791007707E-2</v>
      </c>
      <c r="F23" s="33">
        <f t="shared" si="2"/>
        <v>7.6735688185140205E-2</v>
      </c>
      <c r="G23" s="33">
        <f t="shared" si="2"/>
        <v>0.12001234060057597</v>
      </c>
      <c r="H23" s="33">
        <f t="shared" si="2"/>
        <v>-4.5667398435739304E-2</v>
      </c>
      <c r="I23" s="33">
        <f t="shared" si="2"/>
        <v>0.11036473366570454</v>
      </c>
      <c r="J23" s="33">
        <f t="shared" si="2"/>
        <v>0.2540646563947444</v>
      </c>
      <c r="K23" s="33">
        <f t="shared" si="2"/>
        <v>3.8529908731729234E-2</v>
      </c>
      <c r="L23" s="33">
        <f t="shared" si="2"/>
        <v>-2.1749780748178016E-2</v>
      </c>
      <c r="M23" s="33">
        <f t="shared" si="2"/>
        <v>-1.5308614496194473E-2</v>
      </c>
      <c r="N23" s="33">
        <f t="shared" si="2"/>
        <v>-2.9510934743161021E-3</v>
      </c>
      <c r="O23" s="33">
        <f t="shared" si="2"/>
        <v>8.8618515929543618E-2</v>
      </c>
      <c r="P23" s="33">
        <f t="shared" si="2"/>
        <v>-4.4126919850750679E-2</v>
      </c>
      <c r="Q23" s="33">
        <f t="shared" si="2"/>
        <v>-3.0507695007776725E-2</v>
      </c>
      <c r="R23" s="33">
        <f t="shared" si="2"/>
        <v>2.03500711628255E-2</v>
      </c>
      <c r="S23" s="33">
        <f t="shared" si="2"/>
        <v>7.4026037588097449E-3</v>
      </c>
      <c r="T23" s="33">
        <f t="shared" si="2"/>
        <v>8.9702792318997249E-2</v>
      </c>
      <c r="U23" s="33">
        <f t="shared" si="2"/>
        <v>-2.5312505224674986E-2</v>
      </c>
      <c r="V23" s="33">
        <f t="shared" si="2"/>
        <v>-7.3872895165670971E-2</v>
      </c>
      <c r="W23" s="33">
        <f t="shared" si="2"/>
        <v>0.21085970057107573</v>
      </c>
      <c r="X23" s="33">
        <f t="shared" si="2"/>
        <v>2.4351319794625015E-2</v>
      </c>
      <c r="Y23" s="33">
        <f t="shared" si="2"/>
        <v>8.5861476817401527E-3</v>
      </c>
      <c r="Z23" s="33">
        <f t="shared" si="2"/>
        <v>7.2842126042540478E-2</v>
      </c>
      <c r="AA23" s="33">
        <f t="shared" si="2"/>
        <v>0.10333041998252002</v>
      </c>
      <c r="AB23" s="33">
        <f t="shared" si="2"/>
        <v>0.10295472643660908</v>
      </c>
      <c r="AC23" s="33">
        <f t="shared" si="2"/>
        <v>7.904455540981381E-2</v>
      </c>
      <c r="AD23" s="33">
        <f t="shared" si="2"/>
        <v>7.0174946927393789E-2</v>
      </c>
      <c r="AG23" s="42"/>
    </row>
    <row r="24" spans="2:33" x14ac:dyDescent="0.2">
      <c r="B24" s="20" t="str">
        <f>B12</f>
        <v>Medium Trucks</v>
      </c>
      <c r="C24" s="28"/>
      <c r="D24" s="33">
        <f t="shared" ref="D24:AD24" si="3">D12/C12-1</f>
        <v>-4.3733599900036557E-3</v>
      </c>
      <c r="E24" s="33">
        <f t="shared" si="3"/>
        <v>0.10720381526104394</v>
      </c>
      <c r="F24" s="33">
        <f t="shared" si="3"/>
        <v>3.7292285370996048E-2</v>
      </c>
      <c r="G24" s="33">
        <f t="shared" si="3"/>
        <v>1.7046944662995056E-3</v>
      </c>
      <c r="H24" s="33">
        <f t="shared" si="3"/>
        <v>-3.9970327704324293E-2</v>
      </c>
      <c r="I24" s="33">
        <f t="shared" si="3"/>
        <v>0.126266987864188</v>
      </c>
      <c r="J24" s="33">
        <f t="shared" si="3"/>
        <v>0.17839702974292759</v>
      </c>
      <c r="K24" s="33">
        <f t="shared" si="3"/>
        <v>9.1868011438552166E-2</v>
      </c>
      <c r="L24" s="33">
        <f t="shared" si="3"/>
        <v>1.7658867072329221E-2</v>
      </c>
      <c r="M24" s="33">
        <f t="shared" si="3"/>
        <v>-2.1621205116350684E-2</v>
      </c>
      <c r="N24" s="33">
        <f t="shared" si="3"/>
        <v>4.3441964496668595E-2</v>
      </c>
      <c r="O24" s="33">
        <f t="shared" si="3"/>
        <v>4.7294135406445781E-2</v>
      </c>
      <c r="P24" s="33">
        <f t="shared" si="3"/>
        <v>3.358413329874077E-3</v>
      </c>
      <c r="Q24" s="33">
        <f t="shared" si="3"/>
        <v>-3.2609788682823604E-3</v>
      </c>
      <c r="R24" s="33">
        <f t="shared" si="3"/>
        <v>8.4702525077827717E-2</v>
      </c>
      <c r="S24" s="33">
        <f t="shared" si="3"/>
        <v>0.45908239327141542</v>
      </c>
      <c r="T24" s="33">
        <f t="shared" si="3"/>
        <v>0.14237059702036214</v>
      </c>
      <c r="U24" s="33">
        <f t="shared" si="3"/>
        <v>-9.5578974219983071E-2</v>
      </c>
      <c r="V24" s="33">
        <f t="shared" si="3"/>
        <v>-0.19889648850655761</v>
      </c>
      <c r="W24" s="33">
        <f t="shared" si="3"/>
        <v>0.20762460116624482</v>
      </c>
      <c r="X24" s="33">
        <f t="shared" si="3"/>
        <v>8.572261550095206E-2</v>
      </c>
      <c r="Y24" s="33">
        <f t="shared" si="3"/>
        <v>1.8763111521356013E-2</v>
      </c>
      <c r="Z24" s="33">
        <f t="shared" si="3"/>
        <v>4.508838113437541E-2</v>
      </c>
      <c r="AA24" s="33">
        <f t="shared" si="3"/>
        <v>7.1492749054224536E-2</v>
      </c>
      <c r="AB24" s="33">
        <f t="shared" si="3"/>
        <v>-8.5449904745091954E-2</v>
      </c>
      <c r="AC24" s="33">
        <f t="shared" si="3"/>
        <v>7.3865555680666661E-2</v>
      </c>
      <c r="AD24" s="33">
        <f t="shared" si="3"/>
        <v>1.2882158210878014E-2</v>
      </c>
      <c r="AG24" s="42"/>
    </row>
    <row r="25" spans="2:33" x14ac:dyDescent="0.2">
      <c r="B25" s="20" t="str">
        <f>B13</f>
        <v>Heavy Trucks</v>
      </c>
      <c r="C25" s="28"/>
      <c r="D25" s="33">
        <f t="shared" ref="D25:AD25" si="4">D13/C13-1</f>
        <v>-0.35197348229083547</v>
      </c>
      <c r="E25" s="33">
        <f t="shared" si="4"/>
        <v>0.17173439424078807</v>
      </c>
      <c r="F25" s="33">
        <f t="shared" si="4"/>
        <v>0.48318512530315294</v>
      </c>
      <c r="G25" s="33">
        <f t="shared" si="4"/>
        <v>0.2524663432713794</v>
      </c>
      <c r="H25" s="33">
        <f t="shared" si="4"/>
        <v>0.11175421036598632</v>
      </c>
      <c r="I25" s="33">
        <f t="shared" si="4"/>
        <v>-0.15446040630993862</v>
      </c>
      <c r="J25" s="33">
        <f t="shared" si="4"/>
        <v>0.2494791907782048</v>
      </c>
      <c r="K25" s="33">
        <f t="shared" si="4"/>
        <v>2.9492404594294364E-2</v>
      </c>
      <c r="L25" s="33">
        <f t="shared" si="4"/>
        <v>0.13449219031166759</v>
      </c>
      <c r="M25" s="33">
        <f t="shared" si="4"/>
        <v>-8.7555118484915706E-2</v>
      </c>
      <c r="N25" s="33">
        <f t="shared" si="4"/>
        <v>-0.22973959600876126</v>
      </c>
      <c r="O25" s="33">
        <f t="shared" si="4"/>
        <v>0.14908598510494242</v>
      </c>
      <c r="P25" s="33">
        <f t="shared" si="4"/>
        <v>-4.3286982480948866E-2</v>
      </c>
      <c r="Q25" s="33">
        <f t="shared" si="4"/>
        <v>0.24753654130399072</v>
      </c>
      <c r="R25" s="33">
        <f t="shared" si="4"/>
        <v>0.13486917887115335</v>
      </c>
      <c r="S25" s="33">
        <f t="shared" si="4"/>
        <v>9.306034857756007E-2</v>
      </c>
      <c r="T25" s="33">
        <f t="shared" si="4"/>
        <v>-0.22402631858219246</v>
      </c>
      <c r="U25" s="33">
        <f t="shared" si="4"/>
        <v>-8.3424507658643399E-2</v>
      </c>
      <c r="V25" s="33">
        <f t="shared" si="4"/>
        <v>-0.42304535959415102</v>
      </c>
      <c r="W25" s="33">
        <f t="shared" si="4"/>
        <v>0.26268830413137656</v>
      </c>
      <c r="X25" s="33">
        <f t="shared" si="4"/>
        <v>0.36077828981054783</v>
      </c>
      <c r="Y25" s="33">
        <f t="shared" si="4"/>
        <v>0.22332179409993991</v>
      </c>
      <c r="Z25" s="33">
        <f t="shared" si="4"/>
        <v>-8.3787025929685455E-2</v>
      </c>
      <c r="AA25" s="33">
        <f t="shared" si="4"/>
        <v>1.6315842481619436E-2</v>
      </c>
      <c r="AB25" s="33">
        <f t="shared" si="4"/>
        <v>-1.387374888514481E-3</v>
      </c>
      <c r="AC25" s="33">
        <f t="shared" si="4"/>
        <v>-0.19781019483311835</v>
      </c>
      <c r="AD25" s="33">
        <f t="shared" si="4"/>
        <v>0.12556183250175246</v>
      </c>
      <c r="AG25" s="42"/>
    </row>
    <row r="26" spans="2:33" x14ac:dyDescent="0.2">
      <c r="AG26" s="42"/>
    </row>
    <row r="27" spans="2:33" x14ac:dyDescent="0.2">
      <c r="B27" s="14" t="s">
        <v>14</v>
      </c>
      <c r="AG27" s="42"/>
    </row>
    <row r="28" spans="2:33" x14ac:dyDescent="0.2">
      <c r="B28" s="21" t="s">
        <v>12</v>
      </c>
      <c r="C28" s="16">
        <v>64.098747000000003</v>
      </c>
      <c r="D28" s="16">
        <v>64.710503000000003</v>
      </c>
      <c r="E28" s="16">
        <v>64.284355000000005</v>
      </c>
      <c r="F28" s="16">
        <v>63.966019000000003</v>
      </c>
      <c r="G28" s="16">
        <v>64.452224999999999</v>
      </c>
      <c r="H28" s="16">
        <v>64.288200000000003</v>
      </c>
      <c r="I28" s="16">
        <v>65.116050999999999</v>
      </c>
      <c r="J28" s="16">
        <v>65.570976000000002</v>
      </c>
      <c r="K28" s="16">
        <v>65.528091000000003</v>
      </c>
      <c r="L28" s="16">
        <v>65.074852000000007</v>
      </c>
      <c r="M28" s="16">
        <v>65.304244999999995</v>
      </c>
      <c r="N28" s="16">
        <v>65.661057</v>
      </c>
      <c r="O28" s="16">
        <v>65.842833999999996</v>
      </c>
      <c r="P28" s="16">
        <v>65.709586999999999</v>
      </c>
      <c r="Q28" s="16">
        <v>64.995232000000001</v>
      </c>
      <c r="R28" s="16">
        <v>64.364029000000002</v>
      </c>
      <c r="S28" s="16">
        <v>61.520587999999996</v>
      </c>
      <c r="T28" s="26">
        <v>61.859543000000002</v>
      </c>
      <c r="U28" s="26">
        <v>62.441723000000003</v>
      </c>
      <c r="V28" s="26">
        <v>64.346855000000005</v>
      </c>
      <c r="W28" s="26">
        <v>64.337531999999996</v>
      </c>
      <c r="X28" s="26">
        <v>63.450169000000002</v>
      </c>
      <c r="Y28" s="26">
        <v>63.050167000000002</v>
      </c>
      <c r="Z28" s="26">
        <v>63.579402999999999</v>
      </c>
      <c r="AA28" s="26">
        <v>63.916355000000003</v>
      </c>
      <c r="AB28" s="26">
        <v>65.440017999999995</v>
      </c>
      <c r="AC28" s="26">
        <v>65.949073999999996</v>
      </c>
      <c r="AD28" s="26">
        <v>66.306563999999995</v>
      </c>
      <c r="AG28" s="42"/>
    </row>
    <row r="29" spans="2:33" x14ac:dyDescent="0.2">
      <c r="B29" s="21" t="s">
        <v>13</v>
      </c>
      <c r="C29" s="16">
        <v>23.095154000000001</v>
      </c>
      <c r="D29" s="16">
        <v>23.208545999999998</v>
      </c>
      <c r="E29" s="16">
        <v>22.769749000000001</v>
      </c>
      <c r="F29" s="16">
        <v>22.531165999999999</v>
      </c>
      <c r="G29" s="16">
        <v>22.578699</v>
      </c>
      <c r="H29" s="16">
        <v>22.204440999999999</v>
      </c>
      <c r="I29" s="16">
        <v>22.353816999999999</v>
      </c>
      <c r="J29" s="16">
        <v>22.409483000000002</v>
      </c>
      <c r="K29" s="16">
        <v>22.186631999999999</v>
      </c>
      <c r="L29" s="16">
        <v>21.881519000000001</v>
      </c>
      <c r="M29" s="16">
        <v>21.970037000000001</v>
      </c>
      <c r="N29" s="16">
        <v>22.058810999999999</v>
      </c>
      <c r="O29" s="16">
        <v>22.056619999999999</v>
      </c>
      <c r="P29" s="16">
        <v>21.859406</v>
      </c>
      <c r="Q29" s="16">
        <v>21.570685999999998</v>
      </c>
      <c r="R29" s="16">
        <v>21.321062000000001</v>
      </c>
      <c r="S29" s="16">
        <v>20.297436000000001</v>
      </c>
      <c r="T29" s="26">
        <v>20.482413999999999</v>
      </c>
      <c r="U29" s="26">
        <v>20.842669000000001</v>
      </c>
      <c r="V29" s="26">
        <v>21.521543999999999</v>
      </c>
      <c r="W29" s="26">
        <v>21.493587000000002</v>
      </c>
      <c r="X29" s="26">
        <v>21.182814</v>
      </c>
      <c r="Y29" s="26">
        <v>20.999039</v>
      </c>
      <c r="Z29" s="26">
        <v>21.166488999999999</v>
      </c>
      <c r="AA29" s="26">
        <v>21.313126</v>
      </c>
      <c r="AB29" s="26">
        <v>21.814547999999998</v>
      </c>
      <c r="AC29" s="26">
        <v>21.930323000000001</v>
      </c>
      <c r="AD29" s="26">
        <v>21.992476</v>
      </c>
      <c r="AG29" s="42"/>
    </row>
    <row r="30" spans="2:33" x14ac:dyDescent="0.2">
      <c r="B30" s="21" t="s">
        <v>8</v>
      </c>
      <c r="C30" s="16">
        <v>9.1009159999999998</v>
      </c>
      <c r="D30" s="16">
        <v>9.5502699999999994</v>
      </c>
      <c r="E30" s="16">
        <v>10.110593</v>
      </c>
      <c r="F30" s="16">
        <v>9.6381589999999999</v>
      </c>
      <c r="G30" s="16">
        <v>8.6382589999999997</v>
      </c>
      <c r="H30" s="16">
        <v>8.5457859999999997</v>
      </c>
      <c r="I30" s="16">
        <v>8.7264900000000001</v>
      </c>
      <c r="J30" s="16">
        <v>8.2203710000000001</v>
      </c>
      <c r="K30" s="16">
        <v>8.5566180000000003</v>
      </c>
      <c r="L30" s="16">
        <v>8.7789079999999995</v>
      </c>
      <c r="M30" s="16">
        <v>8.7579150000000006</v>
      </c>
      <c r="N30" s="16">
        <v>9.202458</v>
      </c>
      <c r="O30" s="16">
        <v>8.8522490000000005</v>
      </c>
      <c r="P30" s="16">
        <v>9.2089250000000007</v>
      </c>
      <c r="Q30" s="16">
        <v>9.3426840000000002</v>
      </c>
      <c r="R30" s="16">
        <v>9.8169810000000002</v>
      </c>
      <c r="S30" s="16">
        <v>13.535897</v>
      </c>
      <c r="T30" s="26">
        <v>14.319438</v>
      </c>
      <c r="U30" s="26">
        <v>13.520830999999999</v>
      </c>
      <c r="V30" s="26">
        <v>12.076511</v>
      </c>
      <c r="W30" s="26">
        <v>12.028603</v>
      </c>
      <c r="X30" s="26">
        <v>12.564923</v>
      </c>
      <c r="Y30" s="26">
        <v>12.581597</v>
      </c>
      <c r="Z30" s="26">
        <v>12.353852</v>
      </c>
      <c r="AA30" s="26">
        <v>12.080484999999999</v>
      </c>
      <c r="AB30" s="26">
        <v>10.252583</v>
      </c>
      <c r="AC30" s="26">
        <v>10.257524999999999</v>
      </c>
      <c r="AD30" s="26">
        <v>9.7358949999999993</v>
      </c>
      <c r="AG30" s="42"/>
    </row>
    <row r="31" spans="2:33" x14ac:dyDescent="0.2">
      <c r="B31" s="21" t="s">
        <v>9</v>
      </c>
      <c r="C31" s="16">
        <v>3.7051859999999999</v>
      </c>
      <c r="D31" s="16">
        <v>2.530678</v>
      </c>
      <c r="E31" s="16">
        <v>2.835302</v>
      </c>
      <c r="F31" s="16">
        <v>3.8646579999999999</v>
      </c>
      <c r="G31" s="16">
        <v>4.3308150000000003</v>
      </c>
      <c r="H31" s="16">
        <v>4.9615749999999998</v>
      </c>
      <c r="I31" s="16">
        <v>3.8036430000000001</v>
      </c>
      <c r="J31" s="16">
        <v>3.799172</v>
      </c>
      <c r="K31" s="16">
        <v>3.7286579999999998</v>
      </c>
      <c r="L31" s="16">
        <v>4.2647180000000002</v>
      </c>
      <c r="M31" s="16">
        <v>3.967803</v>
      </c>
      <c r="N31" s="16">
        <v>3.0776729999999999</v>
      </c>
      <c r="O31" s="16">
        <v>3.2483</v>
      </c>
      <c r="P31" s="16">
        <v>3.2220849999999999</v>
      </c>
      <c r="Q31" s="16">
        <v>4.0913959999999996</v>
      </c>
      <c r="R31" s="16">
        <v>4.4979329999999997</v>
      </c>
      <c r="S31" s="16">
        <v>4.6460780000000002</v>
      </c>
      <c r="T31" s="26">
        <v>3.3386070000000001</v>
      </c>
      <c r="U31" s="26">
        <v>3.1947749999999999</v>
      </c>
      <c r="V31" s="26">
        <v>2.0550929999999998</v>
      </c>
      <c r="W31" s="26">
        <v>2.1402739999999998</v>
      </c>
      <c r="X31" s="26">
        <v>2.8020930000000002</v>
      </c>
      <c r="Y31" s="26">
        <v>3.3691939999999998</v>
      </c>
      <c r="Z31" s="26">
        <v>2.9002539999999999</v>
      </c>
      <c r="AA31" s="26">
        <v>2.690032</v>
      </c>
      <c r="AB31" s="26">
        <v>2.4928490000000001</v>
      </c>
      <c r="AC31" s="26">
        <v>1.863084</v>
      </c>
      <c r="AD31" s="26">
        <v>1.9650609999999999</v>
      </c>
      <c r="AG31" s="42"/>
    </row>
    <row r="32" spans="2:33" x14ac:dyDescent="0.2">
      <c r="B32" s="11"/>
      <c r="AG32" s="42"/>
    </row>
    <row r="33" spans="2:34" x14ac:dyDescent="0.2">
      <c r="B33" s="14" t="s">
        <v>11</v>
      </c>
      <c r="AG33" s="42"/>
      <c r="AH33" s="12" t="s">
        <v>239</v>
      </c>
    </row>
    <row r="34" spans="2:34" x14ac:dyDescent="0.2">
      <c r="B34" s="21" t="s">
        <v>12</v>
      </c>
      <c r="C34" s="24">
        <v>2761.0140000000001</v>
      </c>
      <c r="D34" s="24">
        <v>2800.7750000000001</v>
      </c>
      <c r="E34" s="24">
        <v>2908.6729999999998</v>
      </c>
      <c r="F34" s="24">
        <v>3026.8789999999999</v>
      </c>
      <c r="G34" s="24">
        <v>3259.6260000000002</v>
      </c>
      <c r="H34" s="24">
        <v>3371.5549999999998</v>
      </c>
      <c r="I34" s="24">
        <v>3549.797</v>
      </c>
      <c r="J34" s="24">
        <v>3823.2049999999999</v>
      </c>
      <c r="K34" s="24">
        <v>4128.8500000000004</v>
      </c>
      <c r="L34" s="24">
        <v>4351.9539999999997</v>
      </c>
      <c r="M34" s="24">
        <v>4513.5110000000004</v>
      </c>
      <c r="N34" s="24">
        <v>4733.2759999999998</v>
      </c>
      <c r="O34" s="24">
        <v>4871.7070000000003</v>
      </c>
      <c r="P34" s="24">
        <v>5052.5649999999996</v>
      </c>
      <c r="Q34" s="24">
        <v>5290.6729999999998</v>
      </c>
      <c r="R34" s="24">
        <v>5457.7460000000001</v>
      </c>
      <c r="S34" s="24">
        <v>5525.1859999999997</v>
      </c>
      <c r="T34" s="27">
        <v>5871.7969999999996</v>
      </c>
      <c r="U34" s="27">
        <v>6243.0460000000003</v>
      </c>
      <c r="V34" s="27">
        <v>6501.3220000000001</v>
      </c>
      <c r="W34" s="27">
        <v>6758.076</v>
      </c>
      <c r="X34" s="27">
        <v>7002.6880000000001</v>
      </c>
      <c r="Y34" s="27">
        <v>7168.1750000000002</v>
      </c>
      <c r="Z34" s="27">
        <v>7667.8530000000001</v>
      </c>
      <c r="AA34" s="27">
        <v>8164.4589999999998</v>
      </c>
      <c r="AB34" s="27">
        <v>8754.5390000000007</v>
      </c>
      <c r="AC34" s="27">
        <v>9273.8379999999997</v>
      </c>
      <c r="AD34" s="27">
        <v>9743.2199999999993</v>
      </c>
      <c r="AE34" s="36">
        <v>10249.334251128465</v>
      </c>
      <c r="AF34" s="36">
        <v>10781.738746672569</v>
      </c>
      <c r="AG34" s="52">
        <v>11341.799140632158</v>
      </c>
      <c r="AH34" s="33">
        <f>(AD34/T34)^(1/10)-1</f>
        <v>5.1945275907602007E-2</v>
      </c>
    </row>
    <row r="35" spans="2:34" x14ac:dyDescent="0.2">
      <c r="B35" s="21" t="s">
        <v>13</v>
      </c>
      <c r="C35" s="24">
        <v>994.80700000000002</v>
      </c>
      <c r="D35" s="24">
        <v>1004.502</v>
      </c>
      <c r="E35" s="24">
        <v>1030.269</v>
      </c>
      <c r="F35" s="24">
        <v>1066.174</v>
      </c>
      <c r="G35" s="24">
        <v>1141.896</v>
      </c>
      <c r="H35" s="24">
        <v>1164.501</v>
      </c>
      <c r="I35" s="24">
        <v>1218.6220000000001</v>
      </c>
      <c r="J35" s="24">
        <v>1306.6130000000001</v>
      </c>
      <c r="K35" s="24">
        <v>1397.9549999999999</v>
      </c>
      <c r="L35" s="24">
        <v>1463.356</v>
      </c>
      <c r="M35" s="24">
        <v>1518.462</v>
      </c>
      <c r="N35" s="24">
        <v>1590.145</v>
      </c>
      <c r="O35" s="24">
        <v>1631.9670000000001</v>
      </c>
      <c r="P35" s="24">
        <v>1680.8230000000001</v>
      </c>
      <c r="Q35" s="24">
        <v>1755.874</v>
      </c>
      <c r="R35" s="24">
        <v>1807.9179999999999</v>
      </c>
      <c r="S35" s="24">
        <v>1822.9269999999999</v>
      </c>
      <c r="T35" s="27">
        <v>1944.22</v>
      </c>
      <c r="U35" s="27">
        <v>2083.893</v>
      </c>
      <c r="V35" s="27">
        <v>2174.4490000000001</v>
      </c>
      <c r="W35" s="27">
        <v>2257.7040000000002</v>
      </c>
      <c r="X35" s="27">
        <v>2337.8429999999998</v>
      </c>
      <c r="Y35" s="27">
        <v>2387.3850000000002</v>
      </c>
      <c r="Z35" s="27">
        <v>2552.7359999999999</v>
      </c>
      <c r="AA35" s="27">
        <v>2722.462</v>
      </c>
      <c r="AB35" s="27">
        <v>2918.3420000000001</v>
      </c>
      <c r="AC35" s="27">
        <v>3083.873</v>
      </c>
      <c r="AD35" s="27">
        <v>3231.6210000000001</v>
      </c>
      <c r="AE35" s="36">
        <v>3399.6652920000001</v>
      </c>
      <c r="AF35" s="36">
        <v>3576.4478871840001</v>
      </c>
      <c r="AG35" s="52">
        <v>3762.4231773175684</v>
      </c>
      <c r="AH35" s="33">
        <f>(AD35/T35)^(1/10)-1</f>
        <v>5.2125390872489685E-2</v>
      </c>
    </row>
    <row r="36" spans="2:34" x14ac:dyDescent="0.2">
      <c r="B36" s="21" t="s">
        <v>8</v>
      </c>
      <c r="C36" s="24">
        <v>571.98</v>
      </c>
      <c r="D36" s="24">
        <v>571.56399999999996</v>
      </c>
      <c r="E36" s="24">
        <v>563.86500000000001</v>
      </c>
      <c r="F36" s="24">
        <v>566.50099999999998</v>
      </c>
      <c r="G36" s="24">
        <v>609.22199999999998</v>
      </c>
      <c r="H36" s="24">
        <v>580.80600000000004</v>
      </c>
      <c r="I36" s="24">
        <v>622.45000000000005</v>
      </c>
      <c r="J36" s="24">
        <v>636.83900000000006</v>
      </c>
      <c r="K36" s="24">
        <v>677.01900000000001</v>
      </c>
      <c r="L36" s="24">
        <v>673.01700000000005</v>
      </c>
      <c r="M36" s="24">
        <v>671.77200000000005</v>
      </c>
      <c r="N36" s="24">
        <v>719.95600000000002</v>
      </c>
      <c r="O36" s="24">
        <v>749.29499999999996</v>
      </c>
      <c r="P36" s="24">
        <v>795.66300000000001</v>
      </c>
      <c r="Q36" s="24">
        <v>852.03800000000001</v>
      </c>
      <c r="R36" s="24">
        <v>886.52700000000004</v>
      </c>
      <c r="S36" s="24">
        <v>1001.174</v>
      </c>
      <c r="T36" s="27">
        <v>1114.751</v>
      </c>
      <c r="U36" s="27">
        <v>1230.9349999999999</v>
      </c>
      <c r="V36" s="27">
        <v>1315.116</v>
      </c>
      <c r="W36" s="27">
        <v>1405.1849999999999</v>
      </c>
      <c r="X36" s="27">
        <v>1431.6869999999999</v>
      </c>
      <c r="Y36" s="27">
        <v>1449.673</v>
      </c>
      <c r="Z36" s="27">
        <v>1512.6949999999999</v>
      </c>
      <c r="AA36" s="27">
        <v>1603.0350000000001</v>
      </c>
      <c r="AB36" s="27">
        <v>1620.8140000000001</v>
      </c>
      <c r="AC36" s="27">
        <v>1639.722</v>
      </c>
      <c r="AD36" s="27">
        <v>1673.711</v>
      </c>
      <c r="AE36" s="36">
        <v>1744.0068620000002</v>
      </c>
      <c r="AF36" s="36">
        <v>1817.2551502040003</v>
      </c>
      <c r="AG36" s="52">
        <v>1893.5798665125683</v>
      </c>
      <c r="AH36" s="33">
        <f>(AD36/T36)^(1/10)-1</f>
        <v>4.1478382642551548E-2</v>
      </c>
    </row>
    <row r="37" spans="2:34" x14ac:dyDescent="0.2">
      <c r="B37" s="21" t="s">
        <v>9</v>
      </c>
      <c r="C37" s="24">
        <v>297.12099999999998</v>
      </c>
      <c r="D37" s="24">
        <v>293.99200000000002</v>
      </c>
      <c r="E37" s="24">
        <v>291.20999999999998</v>
      </c>
      <c r="F37" s="24">
        <v>292.07900000000001</v>
      </c>
      <c r="G37" s="24">
        <v>292.25299999999999</v>
      </c>
      <c r="H37" s="24">
        <v>292.89999999999998</v>
      </c>
      <c r="I37" s="24">
        <v>281.459</v>
      </c>
      <c r="J37" s="24">
        <v>290.37299999999999</v>
      </c>
      <c r="K37" s="24">
        <v>313.786</v>
      </c>
      <c r="L37" s="24">
        <v>303.95299999999997</v>
      </c>
      <c r="M37" s="24">
        <v>301.495</v>
      </c>
      <c r="N37" s="24">
        <v>319.06299999999999</v>
      </c>
      <c r="O37" s="24">
        <v>325.34199999999998</v>
      </c>
      <c r="P37" s="24">
        <v>343.108</v>
      </c>
      <c r="Q37" s="24">
        <v>345.74</v>
      </c>
      <c r="R37" s="24">
        <v>359.39499999999998</v>
      </c>
      <c r="S37" s="24">
        <v>375.75799999999998</v>
      </c>
      <c r="T37" s="27">
        <v>386.49900000000002</v>
      </c>
      <c r="U37" s="27">
        <v>392.923</v>
      </c>
      <c r="V37" s="27">
        <v>390.76499999999999</v>
      </c>
      <c r="W37" s="27">
        <v>396.23200000000003</v>
      </c>
      <c r="X37" s="27">
        <v>415.42200000000003</v>
      </c>
      <c r="Y37" s="27">
        <v>431.61399999999998</v>
      </c>
      <c r="Z37" s="27">
        <v>432.68400000000003</v>
      </c>
      <c r="AA37" s="27">
        <v>455.00400000000002</v>
      </c>
      <c r="AB37" s="27">
        <v>464.322</v>
      </c>
      <c r="AC37" s="27">
        <v>462.90800000000002</v>
      </c>
      <c r="AD37" s="27">
        <v>470.541</v>
      </c>
      <c r="AE37" s="36">
        <f>AD37*(1+htgrowth)</f>
        <v>479.95182</v>
      </c>
      <c r="AF37" s="36">
        <f>AE37*(1+htgrowth)</f>
        <v>489.55085639999999</v>
      </c>
      <c r="AG37" s="52">
        <f>AF37*(1+htgrowth)</f>
        <v>499.34187352800001</v>
      </c>
      <c r="AH37" s="33">
        <f>(AD37/T37)^(1/10)-1</f>
        <v>1.9870217633512377E-2</v>
      </c>
    </row>
    <row r="38" spans="2:34" x14ac:dyDescent="0.2">
      <c r="B38" s="11"/>
      <c r="AG38" s="42"/>
    </row>
    <row r="39" spans="2:34" x14ac:dyDescent="0.2">
      <c r="B39" s="14" t="s">
        <v>38</v>
      </c>
      <c r="AG39" s="42"/>
    </row>
    <row r="40" spans="2:34" x14ac:dyDescent="0.2">
      <c r="B40" s="21" t="s">
        <v>12</v>
      </c>
      <c r="C40" s="16"/>
      <c r="D40" s="33">
        <f t="shared" ref="D40:AD40" si="5">D34/C34-1</f>
        <v>1.4400868666366806E-2</v>
      </c>
      <c r="E40" s="33">
        <f t="shared" si="5"/>
        <v>3.8524337013862153E-2</v>
      </c>
      <c r="F40" s="33">
        <f t="shared" si="5"/>
        <v>4.0639150567973736E-2</v>
      </c>
      <c r="G40" s="33">
        <f t="shared" si="5"/>
        <v>7.6893394152855343E-2</v>
      </c>
      <c r="H40" s="33">
        <f t="shared" si="5"/>
        <v>3.4337988468615688E-2</v>
      </c>
      <c r="I40" s="33">
        <f t="shared" si="5"/>
        <v>5.2866407340233179E-2</v>
      </c>
      <c r="J40" s="33">
        <f t="shared" si="5"/>
        <v>7.702074231287015E-2</v>
      </c>
      <c r="K40" s="33">
        <f t="shared" si="5"/>
        <v>7.994470607775428E-2</v>
      </c>
      <c r="L40" s="33">
        <f t="shared" si="5"/>
        <v>5.4035385155672744E-2</v>
      </c>
      <c r="M40" s="33">
        <f t="shared" si="5"/>
        <v>3.7122864809692624E-2</v>
      </c>
      <c r="N40" s="33">
        <f t="shared" si="5"/>
        <v>4.8690476216851852E-2</v>
      </c>
      <c r="O40" s="33">
        <f t="shared" si="5"/>
        <v>2.924634016693739E-2</v>
      </c>
      <c r="P40" s="33">
        <f t="shared" si="5"/>
        <v>3.7124153813026695E-2</v>
      </c>
      <c r="Q40" s="33">
        <f t="shared" si="5"/>
        <v>4.7126162652039172E-2</v>
      </c>
      <c r="R40" s="33">
        <f t="shared" si="5"/>
        <v>3.1578780242135673E-2</v>
      </c>
      <c r="S40" s="33">
        <f t="shared" si="5"/>
        <v>1.235674947130172E-2</v>
      </c>
      <c r="T40" s="33">
        <f t="shared" si="5"/>
        <v>6.273291071106013E-2</v>
      </c>
      <c r="U40" s="33">
        <f t="shared" si="5"/>
        <v>6.322578931117695E-2</v>
      </c>
      <c r="V40" s="33">
        <f t="shared" si="5"/>
        <v>4.1370190128344309E-2</v>
      </c>
      <c r="W40" s="33">
        <f t="shared" si="5"/>
        <v>3.9492583200770426E-2</v>
      </c>
      <c r="X40" s="33">
        <f t="shared" si="5"/>
        <v>3.6195508899278472E-2</v>
      </c>
      <c r="Y40" s="33">
        <f t="shared" si="5"/>
        <v>2.3631925340669158E-2</v>
      </c>
      <c r="Z40" s="33">
        <f t="shared" si="5"/>
        <v>6.9707840559138035E-2</v>
      </c>
      <c r="AA40" s="33">
        <f t="shared" si="5"/>
        <v>6.4764674022832702E-2</v>
      </c>
      <c r="AB40" s="33">
        <f t="shared" si="5"/>
        <v>7.2274231519810606E-2</v>
      </c>
      <c r="AC40" s="33">
        <f t="shared" si="5"/>
        <v>5.931768651667424E-2</v>
      </c>
      <c r="AD40" s="33">
        <f t="shared" si="5"/>
        <v>5.0613564739862893E-2</v>
      </c>
      <c r="AG40" s="42"/>
    </row>
    <row r="41" spans="2:34" x14ac:dyDescent="0.2">
      <c r="B41" s="21" t="s">
        <v>13</v>
      </c>
      <c r="C41" s="16"/>
      <c r="D41" s="33">
        <f t="shared" ref="D41:AD41" si="6">D35/C35-1</f>
        <v>9.7456089472631735E-3</v>
      </c>
      <c r="E41" s="33">
        <f t="shared" si="6"/>
        <v>2.5651516871046498E-2</v>
      </c>
      <c r="F41" s="33">
        <f t="shared" si="6"/>
        <v>3.4850121667253875E-2</v>
      </c>
      <c r="G41" s="33">
        <f t="shared" si="6"/>
        <v>7.1022178368634004E-2</v>
      </c>
      <c r="H41" s="33">
        <f t="shared" si="6"/>
        <v>1.9796023455726175E-2</v>
      </c>
      <c r="I41" s="33">
        <f t="shared" si="6"/>
        <v>4.647570075079388E-2</v>
      </c>
      <c r="J41" s="33">
        <f t="shared" si="6"/>
        <v>7.2205327000497199E-2</v>
      </c>
      <c r="K41" s="33">
        <f t="shared" si="6"/>
        <v>6.9907463036109396E-2</v>
      </c>
      <c r="L41" s="33">
        <f t="shared" si="6"/>
        <v>4.6783337088819099E-2</v>
      </c>
      <c r="M41" s="33">
        <f t="shared" si="6"/>
        <v>3.7657275468170326E-2</v>
      </c>
      <c r="N41" s="33">
        <f t="shared" si="6"/>
        <v>4.7207635093930556E-2</v>
      </c>
      <c r="O41" s="33">
        <f t="shared" si="6"/>
        <v>2.6300746158369304E-2</v>
      </c>
      <c r="P41" s="33">
        <f t="shared" si="6"/>
        <v>2.9936879851124365E-2</v>
      </c>
      <c r="Q41" s="33">
        <f t="shared" si="6"/>
        <v>4.4651340444532117E-2</v>
      </c>
      <c r="R41" s="33">
        <f t="shared" si="6"/>
        <v>2.9639939995694364E-2</v>
      </c>
      <c r="S41" s="33">
        <f t="shared" si="6"/>
        <v>8.3018145734485849E-3</v>
      </c>
      <c r="T41" s="33">
        <f t="shared" si="6"/>
        <v>6.6537497113159372E-2</v>
      </c>
      <c r="U41" s="33">
        <f t="shared" si="6"/>
        <v>7.1840120973963861E-2</v>
      </c>
      <c r="V41" s="33">
        <f t="shared" si="6"/>
        <v>4.3455206193408147E-2</v>
      </c>
      <c r="W41" s="33">
        <f t="shared" si="6"/>
        <v>3.8287860510869631E-2</v>
      </c>
      <c r="X41" s="33">
        <f t="shared" si="6"/>
        <v>3.5495795728757829E-2</v>
      </c>
      <c r="Y41" s="33">
        <f t="shared" si="6"/>
        <v>2.1191328930129316E-2</v>
      </c>
      <c r="Z41" s="33">
        <f t="shared" si="6"/>
        <v>6.9260299448978602E-2</v>
      </c>
      <c r="AA41" s="33">
        <f t="shared" si="6"/>
        <v>6.648787810412049E-2</v>
      </c>
      <c r="AB41" s="33">
        <f t="shared" si="6"/>
        <v>7.1949580930789958E-2</v>
      </c>
      <c r="AC41" s="33">
        <f t="shared" si="6"/>
        <v>5.6720905226323781E-2</v>
      </c>
      <c r="AD41" s="33">
        <f t="shared" si="6"/>
        <v>4.7909884745578113E-2</v>
      </c>
      <c r="AG41" s="42"/>
    </row>
    <row r="42" spans="2:34" x14ac:dyDescent="0.2">
      <c r="B42" s="21" t="s">
        <v>8</v>
      </c>
      <c r="C42" s="16"/>
      <c r="D42" s="33">
        <f t="shared" ref="D42:AD42" si="7">D36/C36-1</f>
        <v>-7.2729815727834435E-4</v>
      </c>
      <c r="E42" s="33">
        <f t="shared" si="7"/>
        <v>-1.3470057596349561E-2</v>
      </c>
      <c r="F42" s="33">
        <f t="shared" si="7"/>
        <v>4.6748778519680734E-3</v>
      </c>
      <c r="G42" s="33">
        <f t="shared" si="7"/>
        <v>7.5412046933721166E-2</v>
      </c>
      <c r="H42" s="33">
        <f t="shared" si="7"/>
        <v>-4.6643095620315655E-2</v>
      </c>
      <c r="I42" s="33">
        <f t="shared" si="7"/>
        <v>7.1700361222163611E-2</v>
      </c>
      <c r="J42" s="33">
        <f t="shared" si="7"/>
        <v>2.3116716202104648E-2</v>
      </c>
      <c r="K42" s="33">
        <f t="shared" si="7"/>
        <v>6.3092869626389048E-2</v>
      </c>
      <c r="L42" s="33">
        <f t="shared" si="7"/>
        <v>-5.9112078095296949E-3</v>
      </c>
      <c r="M42" s="33">
        <f t="shared" si="7"/>
        <v>-1.8498789777969815E-3</v>
      </c>
      <c r="N42" s="33">
        <f t="shared" si="7"/>
        <v>7.1726716802724688E-2</v>
      </c>
      <c r="O42" s="33">
        <f t="shared" si="7"/>
        <v>4.075110145620009E-2</v>
      </c>
      <c r="P42" s="33">
        <f t="shared" si="7"/>
        <v>6.1882169239084739E-2</v>
      </c>
      <c r="Q42" s="33">
        <f t="shared" si="7"/>
        <v>7.0852861073092521E-2</v>
      </c>
      <c r="R42" s="33">
        <f t="shared" si="7"/>
        <v>4.047824158077451E-2</v>
      </c>
      <c r="S42" s="33">
        <f t="shared" si="7"/>
        <v>0.12932149838639995</v>
      </c>
      <c r="T42" s="33">
        <f t="shared" si="7"/>
        <v>0.11344381695889028</v>
      </c>
      <c r="U42" s="33">
        <f t="shared" si="7"/>
        <v>0.10422417203483114</v>
      </c>
      <c r="V42" s="33">
        <f t="shared" si="7"/>
        <v>6.8387851511249709E-2</v>
      </c>
      <c r="W42" s="33">
        <f t="shared" si="7"/>
        <v>6.8487494639256186E-2</v>
      </c>
      <c r="X42" s="33">
        <f t="shared" si="7"/>
        <v>1.886015008699915E-2</v>
      </c>
      <c r="Y42" s="33">
        <f t="shared" si="7"/>
        <v>1.2562801785585886E-2</v>
      </c>
      <c r="Z42" s="33">
        <f t="shared" si="7"/>
        <v>4.3473252243781735E-2</v>
      </c>
      <c r="AA42" s="33">
        <f t="shared" si="7"/>
        <v>5.9721226023752516E-2</v>
      </c>
      <c r="AB42" s="33">
        <f t="shared" si="7"/>
        <v>1.1090837068435722E-2</v>
      </c>
      <c r="AC42" s="33">
        <f t="shared" si="7"/>
        <v>1.1665743262335937E-2</v>
      </c>
      <c r="AD42" s="33">
        <f t="shared" si="7"/>
        <v>2.072851373586504E-2</v>
      </c>
      <c r="AG42" s="42"/>
    </row>
    <row r="43" spans="2:34" x14ac:dyDescent="0.2">
      <c r="B43" s="21" t="s">
        <v>9</v>
      </c>
      <c r="C43" s="16"/>
      <c r="D43" s="33">
        <f t="shared" ref="D43:AD43" si="8">D37/C37-1</f>
        <v>-1.0531063102237725E-2</v>
      </c>
      <c r="E43" s="33">
        <f t="shared" si="8"/>
        <v>-9.4628425263273419E-3</v>
      </c>
      <c r="F43" s="33">
        <f t="shared" si="8"/>
        <v>2.9841008207136532E-3</v>
      </c>
      <c r="G43" s="33">
        <f t="shared" si="8"/>
        <v>5.9572923763773211E-4</v>
      </c>
      <c r="H43" s="33">
        <f t="shared" si="8"/>
        <v>2.2138352728628963E-3</v>
      </c>
      <c r="I43" s="33">
        <f t="shared" si="8"/>
        <v>-3.9061113007852422E-2</v>
      </c>
      <c r="J43" s="33">
        <f t="shared" si="8"/>
        <v>3.1670687382531648E-2</v>
      </c>
      <c r="K43" s="33">
        <f t="shared" si="8"/>
        <v>8.063077489987025E-2</v>
      </c>
      <c r="L43" s="33">
        <f t="shared" si="8"/>
        <v>-3.1336643444895618E-2</v>
      </c>
      <c r="M43" s="33">
        <f t="shared" si="8"/>
        <v>-8.0867765740096909E-3</v>
      </c>
      <c r="N43" s="33">
        <f t="shared" si="8"/>
        <v>5.8269623045158259E-2</v>
      </c>
      <c r="O43" s="33">
        <f t="shared" si="8"/>
        <v>1.9679499033106396E-2</v>
      </c>
      <c r="P43" s="33">
        <f t="shared" si="8"/>
        <v>5.4607151858659497E-2</v>
      </c>
      <c r="Q43" s="33">
        <f t="shared" si="8"/>
        <v>7.6710540121478488E-3</v>
      </c>
      <c r="R43" s="33">
        <f t="shared" si="8"/>
        <v>3.9494996239949121E-2</v>
      </c>
      <c r="S43" s="33">
        <f t="shared" si="8"/>
        <v>4.5529292282864287E-2</v>
      </c>
      <c r="T43" s="33">
        <f t="shared" si="8"/>
        <v>2.8584887081579247E-2</v>
      </c>
      <c r="U43" s="33">
        <f t="shared" si="8"/>
        <v>1.6621000313066681E-2</v>
      </c>
      <c r="V43" s="33">
        <f t="shared" si="8"/>
        <v>-5.4921702216464974E-3</v>
      </c>
      <c r="W43" s="33">
        <f t="shared" si="8"/>
        <v>1.3990505802720321E-2</v>
      </c>
      <c r="X43" s="33">
        <f t="shared" si="8"/>
        <v>4.8431222112297778E-2</v>
      </c>
      <c r="Y43" s="33">
        <f t="shared" si="8"/>
        <v>3.8977232789789484E-2</v>
      </c>
      <c r="Z43" s="33">
        <f t="shared" si="8"/>
        <v>2.4790669440750701E-3</v>
      </c>
      <c r="AA43" s="33">
        <f t="shared" si="8"/>
        <v>5.1584990431816191E-2</v>
      </c>
      <c r="AB43" s="33">
        <f t="shared" si="8"/>
        <v>2.0478940844476101E-2</v>
      </c>
      <c r="AC43" s="33">
        <f t="shared" si="8"/>
        <v>-3.0453004595948352E-3</v>
      </c>
      <c r="AD43" s="33">
        <f t="shared" si="8"/>
        <v>1.6489237602288043E-2</v>
      </c>
      <c r="AG43" s="42"/>
    </row>
    <row r="44" spans="2:34" x14ac:dyDescent="0.2">
      <c r="B44" s="21"/>
      <c r="C44" s="16"/>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G44" s="42"/>
    </row>
    <row r="45" spans="2:34" x14ac:dyDescent="0.2">
      <c r="B45" s="14" t="s">
        <v>33</v>
      </c>
      <c r="C45" s="16"/>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G45" s="42"/>
    </row>
    <row r="46" spans="2:34" x14ac:dyDescent="0.2">
      <c r="B46" s="21" t="str">
        <f>B40</f>
        <v>Passenger Light Trucks</v>
      </c>
      <c r="C46" s="16"/>
      <c r="D46" s="36">
        <f t="shared" ref="D46:AD46" si="9">D10-(D34-C34)</f>
        <v>230.18600000000004</v>
      </c>
      <c r="E46" s="36">
        <f t="shared" si="9"/>
        <v>172.56500000000034</v>
      </c>
      <c r="F46" s="36">
        <f t="shared" si="9"/>
        <v>185.46499999999986</v>
      </c>
      <c r="G46" s="36">
        <f t="shared" si="9"/>
        <v>109.23199999999969</v>
      </c>
      <c r="H46" s="36">
        <f t="shared" si="9"/>
        <v>219.08900000000034</v>
      </c>
      <c r="I46" s="36">
        <f t="shared" si="9"/>
        <v>191.5539999999998</v>
      </c>
      <c r="J46" s="36">
        <f t="shared" si="9"/>
        <v>192.42000000000007</v>
      </c>
      <c r="K46" s="36">
        <f t="shared" si="9"/>
        <v>182.67099999999954</v>
      </c>
      <c r="L46" s="36">
        <f t="shared" si="9"/>
        <v>257.90200000000061</v>
      </c>
      <c r="M46" s="36">
        <f t="shared" si="9"/>
        <v>311.83999999999929</v>
      </c>
      <c r="N46" s="36">
        <f t="shared" si="9"/>
        <v>252.90400000000056</v>
      </c>
      <c r="O46" s="36">
        <f t="shared" si="9"/>
        <v>377.60099999999954</v>
      </c>
      <c r="P46" s="36">
        <f t="shared" si="9"/>
        <v>315.84600000000074</v>
      </c>
      <c r="Q46" s="36">
        <f t="shared" si="9"/>
        <v>244.5829999999998</v>
      </c>
      <c r="R46" s="36">
        <f t="shared" si="9"/>
        <v>326.36799999999965</v>
      </c>
      <c r="S46" s="36">
        <f t="shared" si="9"/>
        <v>431.65500000000043</v>
      </c>
      <c r="T46" s="36">
        <f t="shared" si="9"/>
        <v>195.31200000000013</v>
      </c>
      <c r="U46" s="36">
        <f t="shared" si="9"/>
        <v>152.71199999999931</v>
      </c>
      <c r="V46" s="36">
        <f t="shared" si="9"/>
        <v>226.01000000000016</v>
      </c>
      <c r="W46" s="36">
        <f t="shared" si="9"/>
        <v>330.32600000000014</v>
      </c>
      <c r="X46" s="36">
        <f t="shared" si="9"/>
        <v>357.17099999999994</v>
      </c>
      <c r="Y46" s="36">
        <f t="shared" si="9"/>
        <v>442.91499999999996</v>
      </c>
      <c r="Z46" s="36">
        <f t="shared" si="9"/>
        <v>153.3130000000001</v>
      </c>
      <c r="AA46" s="36">
        <f t="shared" si="9"/>
        <v>222.69400000000019</v>
      </c>
      <c r="AB46" s="36">
        <f t="shared" si="9"/>
        <v>203.51699999999914</v>
      </c>
      <c r="AC46" s="36">
        <f t="shared" si="9"/>
        <v>339.13300000000095</v>
      </c>
      <c r="AD46" s="36">
        <f t="shared" si="9"/>
        <v>451.66000000000042</v>
      </c>
      <c r="AE46" s="36">
        <f>AD34*pltretire</f>
        <v>974.322</v>
      </c>
      <c r="AF46" s="36">
        <f>AE34*pltretire</f>
        <v>1024.9334251128464</v>
      </c>
      <c r="AG46" s="52">
        <f>AF34*pltretire</f>
        <v>1078.173874667257</v>
      </c>
    </row>
    <row r="47" spans="2:34" x14ac:dyDescent="0.2">
      <c r="B47" s="21" t="str">
        <f>B41</f>
        <v>Freight Light Trucks</v>
      </c>
      <c r="C47" s="16"/>
      <c r="D47" s="36">
        <f t="shared" ref="D47:AD47" si="10">D11-(D35-C35)</f>
        <v>87.122000000000057</v>
      </c>
      <c r="E47" s="36">
        <f t="shared" si="10"/>
        <v>73.573999999999941</v>
      </c>
      <c r="F47" s="36">
        <f t="shared" si="10"/>
        <v>71.059000000000026</v>
      </c>
      <c r="G47" s="36">
        <f t="shared" si="10"/>
        <v>44.079000000000022</v>
      </c>
      <c r="H47" s="36">
        <f t="shared" si="10"/>
        <v>91.72499999999998</v>
      </c>
      <c r="I47" s="36">
        <f t="shared" si="10"/>
        <v>72.826999999999899</v>
      </c>
      <c r="J47" s="36">
        <f t="shared" si="10"/>
        <v>71.210000000000008</v>
      </c>
      <c r="K47" s="36">
        <f t="shared" si="10"/>
        <v>73.993000000000137</v>
      </c>
      <c r="L47" s="36">
        <f t="shared" si="10"/>
        <v>96.337999999999937</v>
      </c>
      <c r="M47" s="36">
        <f t="shared" si="10"/>
        <v>104.15700000000001</v>
      </c>
      <c r="N47" s="36">
        <f t="shared" si="10"/>
        <v>87.110000000000014</v>
      </c>
      <c r="O47" s="36">
        <f t="shared" si="10"/>
        <v>131.04299999999989</v>
      </c>
      <c r="P47" s="36">
        <f t="shared" si="10"/>
        <v>116.381</v>
      </c>
      <c r="Q47" s="36">
        <f t="shared" si="10"/>
        <v>85.145000000000067</v>
      </c>
      <c r="R47" s="36">
        <f t="shared" si="10"/>
        <v>111.41200000000012</v>
      </c>
      <c r="S47" s="36">
        <f t="shared" si="10"/>
        <v>149.65699999999998</v>
      </c>
      <c r="T47" s="36">
        <f t="shared" si="10"/>
        <v>58.143999999999892</v>
      </c>
      <c r="U47" s="36">
        <f t="shared" si="10"/>
        <v>35.222000000000008</v>
      </c>
      <c r="V47" s="36">
        <f t="shared" si="10"/>
        <v>71.418999999999954</v>
      </c>
      <c r="W47" s="36">
        <f t="shared" si="10"/>
        <v>112.87399999999988</v>
      </c>
      <c r="X47" s="36">
        <f t="shared" si="10"/>
        <v>120.76600000000033</v>
      </c>
      <c r="Y47" s="36">
        <f t="shared" si="10"/>
        <v>153.08799999999962</v>
      </c>
      <c r="Z47" s="36">
        <f t="shared" si="10"/>
        <v>52.039000000000328</v>
      </c>
      <c r="AA47" s="36">
        <f t="shared" si="10"/>
        <v>70.126999999999896</v>
      </c>
      <c r="AB47" s="36">
        <f t="shared" si="10"/>
        <v>68.666999999999916</v>
      </c>
      <c r="AC47" s="36">
        <f t="shared" si="10"/>
        <v>119.92700000000008</v>
      </c>
      <c r="AD47" s="36">
        <f t="shared" si="10"/>
        <v>157.74199999999996</v>
      </c>
      <c r="AE47" s="36">
        <f>AD35*fltretire</f>
        <v>323.16210000000001</v>
      </c>
      <c r="AF47" s="36">
        <f>AE35*fltretire</f>
        <v>339.96652920000002</v>
      </c>
      <c r="AG47" s="52">
        <f>AF35*fltretire</f>
        <v>357.64478871840004</v>
      </c>
    </row>
    <row r="48" spans="2:34" x14ac:dyDescent="0.2">
      <c r="B48" s="21" t="str">
        <f>B42</f>
        <v>Medium Trucks</v>
      </c>
      <c r="C48" s="16"/>
      <c r="D48" s="36">
        <f t="shared" ref="D48:AD48" si="11">D12-(D36-C36)</f>
        <v>40.256000000000057</v>
      </c>
      <c r="E48" s="36">
        <f t="shared" si="11"/>
        <v>51.809999999999953</v>
      </c>
      <c r="F48" s="36">
        <f t="shared" si="11"/>
        <v>43.120000000000033</v>
      </c>
      <c r="G48" s="36">
        <f t="shared" si="11"/>
        <v>3.1129999999999995</v>
      </c>
      <c r="H48" s="36">
        <f t="shared" si="11"/>
        <v>72.41799999999995</v>
      </c>
      <c r="I48" s="36">
        <f t="shared" si="11"/>
        <v>7.9139999999999944</v>
      </c>
      <c r="J48" s="36">
        <f t="shared" si="11"/>
        <v>44.009999999999991</v>
      </c>
      <c r="K48" s="36">
        <f t="shared" si="11"/>
        <v>23.584000000000053</v>
      </c>
      <c r="L48" s="36">
        <f t="shared" si="11"/>
        <v>68.891999999999953</v>
      </c>
      <c r="M48" s="36">
        <f t="shared" si="11"/>
        <v>64.731999999999999</v>
      </c>
      <c r="N48" s="36">
        <f t="shared" si="11"/>
        <v>18.061000000000035</v>
      </c>
      <c r="O48" s="36">
        <f t="shared" si="11"/>
        <v>40.039000000000058</v>
      </c>
      <c r="P48" s="36">
        <f t="shared" si="11"/>
        <v>23.242999999999952</v>
      </c>
      <c r="Q48" s="36">
        <f t="shared" si="11"/>
        <v>13.009</v>
      </c>
      <c r="R48" s="36">
        <f t="shared" si="11"/>
        <v>40.771999999999963</v>
      </c>
      <c r="S48" s="36">
        <f t="shared" si="11"/>
        <v>-4.8349999999999369</v>
      </c>
      <c r="T48" s="36">
        <f t="shared" si="11"/>
        <v>11.869</v>
      </c>
      <c r="U48" s="36">
        <f t="shared" si="11"/>
        <v>-2.727999999999966</v>
      </c>
      <c r="V48" s="36">
        <f t="shared" si="11"/>
        <v>6.7089999999999606</v>
      </c>
      <c r="W48" s="36">
        <f t="shared" si="11"/>
        <v>19.692000000000036</v>
      </c>
      <c r="X48" s="36">
        <f t="shared" si="11"/>
        <v>92.668000000000049</v>
      </c>
      <c r="Y48" s="36">
        <f t="shared" si="11"/>
        <v>103.4199999999999</v>
      </c>
      <c r="Z48" s="36">
        <f t="shared" si="11"/>
        <v>63.858000000000061</v>
      </c>
      <c r="AA48" s="36">
        <f t="shared" si="11"/>
        <v>45.610999999999848</v>
      </c>
      <c r="AB48" s="36">
        <f t="shared" si="11"/>
        <v>106.55500000000001</v>
      </c>
      <c r="AC48" s="36">
        <f t="shared" si="11"/>
        <v>114.6100000000001</v>
      </c>
      <c r="AD48" s="36">
        <f t="shared" si="11"/>
        <v>101.24899999999997</v>
      </c>
      <c r="AE48" s="36">
        <f>AD36*mtretire</f>
        <v>125.528325</v>
      </c>
      <c r="AF48" s="36">
        <f>AE36*mtretire</f>
        <v>130.80051465</v>
      </c>
      <c r="AG48" s="52">
        <f>AF36*mtretire</f>
        <v>136.29413626530001</v>
      </c>
    </row>
    <row r="49" spans="2:33" x14ac:dyDescent="0.2">
      <c r="B49" s="21" t="str">
        <f>B43</f>
        <v>Heavy Trucks</v>
      </c>
      <c r="C49" s="16"/>
      <c r="D49" s="36">
        <f t="shared" ref="D49:AD49" si="12">D13-(D37-C37)</f>
        <v>13.685999999999963</v>
      </c>
      <c r="E49" s="36">
        <f t="shared" si="12"/>
        <v>15.152000000000038</v>
      </c>
      <c r="F49" s="36">
        <f t="shared" si="12"/>
        <v>17.477999999999973</v>
      </c>
      <c r="G49" s="36">
        <f t="shared" si="12"/>
        <v>22.805000000000021</v>
      </c>
      <c r="H49" s="36">
        <f t="shared" si="12"/>
        <v>24.900000000000009</v>
      </c>
      <c r="I49" s="36">
        <f t="shared" si="12"/>
        <v>33.041999999999973</v>
      </c>
      <c r="J49" s="36">
        <f t="shared" si="12"/>
        <v>18.076000000000011</v>
      </c>
      <c r="K49" s="36">
        <f t="shared" si="12"/>
        <v>4.3729999999999905</v>
      </c>
      <c r="L49" s="36">
        <f t="shared" si="12"/>
        <v>41.356000000000023</v>
      </c>
      <c r="M49" s="36">
        <f t="shared" si="12"/>
        <v>31.220999999999972</v>
      </c>
      <c r="N49" s="36">
        <f t="shared" si="12"/>
        <v>4.5870000000000175</v>
      </c>
      <c r="O49" s="36">
        <f t="shared" si="12"/>
        <v>19.179000000000002</v>
      </c>
      <c r="P49" s="36">
        <f t="shared" si="12"/>
        <v>6.5899999999999821</v>
      </c>
      <c r="Q49" s="36">
        <f t="shared" si="12"/>
        <v>27.752999999999997</v>
      </c>
      <c r="R49" s="36">
        <f t="shared" si="12"/>
        <v>20.828000000000024</v>
      </c>
      <c r="S49" s="36">
        <f t="shared" si="12"/>
        <v>21.329000000000001</v>
      </c>
      <c r="T49" s="36">
        <f t="shared" si="12"/>
        <v>18.506999999999959</v>
      </c>
      <c r="U49" s="36">
        <f t="shared" si="12"/>
        <v>20.384000000000022</v>
      </c>
      <c r="V49" s="36">
        <f t="shared" si="12"/>
        <v>17.625000000000014</v>
      </c>
      <c r="W49" s="36">
        <f t="shared" si="12"/>
        <v>14.06299999999996</v>
      </c>
      <c r="X49" s="36">
        <f t="shared" si="12"/>
        <v>7.3860000000000028</v>
      </c>
      <c r="Y49" s="36">
        <f t="shared" si="12"/>
        <v>16.319000000000052</v>
      </c>
      <c r="Z49" s="36">
        <f t="shared" si="12"/>
        <v>28.716999999999949</v>
      </c>
      <c r="AA49" s="36">
        <f t="shared" si="12"/>
        <v>7.9530000000000065</v>
      </c>
      <c r="AB49" s="36">
        <f t="shared" si="12"/>
        <v>20.913000000000018</v>
      </c>
      <c r="AC49" s="36">
        <f t="shared" si="12"/>
        <v>25.664999999999988</v>
      </c>
      <c r="AD49" s="36">
        <f t="shared" si="12"/>
        <v>19.663000000000018</v>
      </c>
      <c r="AE49" s="36">
        <f>AD37*htretire</f>
        <v>35.290574999999997</v>
      </c>
      <c r="AF49" s="36">
        <f>AE37*htretire</f>
        <v>35.9963865</v>
      </c>
      <c r="AG49" s="52">
        <f>AF37*htretire</f>
        <v>36.716314229999995</v>
      </c>
    </row>
    <row r="50" spans="2:33" x14ac:dyDescent="0.2">
      <c r="B50" s="21"/>
      <c r="C50" s="1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G50" s="42"/>
    </row>
    <row r="51" spans="2:33" x14ac:dyDescent="0.2">
      <c r="B51" s="14" t="s">
        <v>39</v>
      </c>
      <c r="C51" s="1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G51" s="42"/>
    </row>
    <row r="52" spans="2:33" x14ac:dyDescent="0.2">
      <c r="B52" s="21" t="str">
        <f>B46</f>
        <v>Passenger Light Trucks</v>
      </c>
      <c r="C52" s="16"/>
      <c r="D52" s="33">
        <f t="shared" ref="D52:AD52" si="13">D46/C34</f>
        <v>8.337009518966583E-2</v>
      </c>
      <c r="E52" s="33">
        <f t="shared" si="13"/>
        <v>6.1613303460649402E-2</v>
      </c>
      <c r="F52" s="33">
        <f t="shared" si="13"/>
        <v>6.3762753668081582E-2</v>
      </c>
      <c r="G52" s="33">
        <f t="shared" si="13"/>
        <v>3.6087336163751406E-2</v>
      </c>
      <c r="H52" s="33">
        <f t="shared" si="13"/>
        <v>6.7212925654661096E-2</v>
      </c>
      <c r="I52" s="33">
        <f t="shared" si="13"/>
        <v>5.6814733854260072E-2</v>
      </c>
      <c r="J52" s="33">
        <f t="shared" si="13"/>
        <v>5.4205916563679575E-2</v>
      </c>
      <c r="K52" s="33">
        <f t="shared" si="13"/>
        <v>4.7779546218421336E-2</v>
      </c>
      <c r="L52" s="33">
        <f t="shared" si="13"/>
        <v>6.2463397798418592E-2</v>
      </c>
      <c r="M52" s="33">
        <f t="shared" si="13"/>
        <v>7.1655169149306114E-2</v>
      </c>
      <c r="N52" s="33">
        <f t="shared" si="13"/>
        <v>5.6032653958304417E-2</v>
      </c>
      <c r="O52" s="33">
        <f t="shared" si="13"/>
        <v>7.9775825453660326E-2</v>
      </c>
      <c r="P52" s="33">
        <f t="shared" si="13"/>
        <v>6.4832716745896399E-2</v>
      </c>
      <c r="Q52" s="33">
        <f t="shared" si="13"/>
        <v>4.8407689955497817E-2</v>
      </c>
      <c r="R52" s="33">
        <f t="shared" si="13"/>
        <v>6.1687426155424774E-2</v>
      </c>
      <c r="S52" s="33">
        <f t="shared" si="13"/>
        <v>7.9090342423410773E-2</v>
      </c>
      <c r="T52" s="33">
        <f t="shared" si="13"/>
        <v>3.5349398192205679E-2</v>
      </c>
      <c r="U52" s="33">
        <f t="shared" si="13"/>
        <v>2.6007711097641713E-2</v>
      </c>
      <c r="V52" s="33">
        <f t="shared" si="13"/>
        <v>3.6201879659384241E-2</v>
      </c>
      <c r="W52" s="33">
        <f t="shared" si="13"/>
        <v>5.080905083612227E-2</v>
      </c>
      <c r="X52" s="33">
        <f t="shared" si="13"/>
        <v>5.2850988950109458E-2</v>
      </c>
      <c r="Y52" s="33">
        <f t="shared" si="13"/>
        <v>6.3249283703629228E-2</v>
      </c>
      <c r="Z52" s="33">
        <f t="shared" si="13"/>
        <v>2.1388010197853722E-2</v>
      </c>
      <c r="AA52" s="33">
        <f t="shared" si="13"/>
        <v>2.9042549459411936E-2</v>
      </c>
      <c r="AB52" s="33">
        <f t="shared" si="13"/>
        <v>2.4927187459695632E-2</v>
      </c>
      <c r="AC52" s="33">
        <f t="shared" si="13"/>
        <v>3.8737962101716712E-2</v>
      </c>
      <c r="AD52" s="33">
        <f t="shared" si="13"/>
        <v>4.8702597565323053E-2</v>
      </c>
      <c r="AG52" s="42"/>
    </row>
    <row r="53" spans="2:33" x14ac:dyDescent="0.2">
      <c r="B53" s="21" t="str">
        <f>B47</f>
        <v>Freight Light Trucks</v>
      </c>
      <c r="C53" s="16"/>
      <c r="D53" s="33">
        <f t="shared" ref="D53:AD53" si="14">D47/C35</f>
        <v>8.7576786251001501E-2</v>
      </c>
      <c r="E53" s="33">
        <f t="shared" si="14"/>
        <v>7.3244254366840428E-2</v>
      </c>
      <c r="F53" s="33">
        <f t="shared" si="14"/>
        <v>6.8971307493479878E-2</v>
      </c>
      <c r="G53" s="33">
        <f t="shared" si="14"/>
        <v>4.1343157871041709E-2</v>
      </c>
      <c r="H53" s="33">
        <f t="shared" si="14"/>
        <v>8.0326929948086323E-2</v>
      </c>
      <c r="I53" s="33">
        <f t="shared" si="14"/>
        <v>6.2539233542950934E-2</v>
      </c>
      <c r="J53" s="33">
        <f t="shared" si="14"/>
        <v>5.8434855106833786E-2</v>
      </c>
      <c r="K53" s="33">
        <f t="shared" si="14"/>
        <v>5.6629621777833324E-2</v>
      </c>
      <c r="L53" s="33">
        <f t="shared" si="14"/>
        <v>6.8913520106155021E-2</v>
      </c>
      <c r="M53" s="33">
        <f t="shared" si="14"/>
        <v>7.1176801817192811E-2</v>
      </c>
      <c r="N53" s="33">
        <f t="shared" si="14"/>
        <v>5.7367257132545965E-2</v>
      </c>
      <c r="O53" s="33">
        <f t="shared" si="14"/>
        <v>8.240946580343296E-2</v>
      </c>
      <c r="P53" s="33">
        <f t="shared" si="14"/>
        <v>7.1313329252368454E-2</v>
      </c>
      <c r="Q53" s="33">
        <f t="shared" si="14"/>
        <v>5.0656731851003979E-2</v>
      </c>
      <c r="R53" s="33">
        <f t="shared" si="14"/>
        <v>6.3451022112065061E-2</v>
      </c>
      <c r="S53" s="33">
        <f t="shared" si="14"/>
        <v>8.2778643721673206E-2</v>
      </c>
      <c r="T53" s="33">
        <f t="shared" si="14"/>
        <v>3.1895956338350295E-2</v>
      </c>
      <c r="U53" s="33">
        <f t="shared" si="14"/>
        <v>1.8116262562878689E-2</v>
      </c>
      <c r="V53" s="33">
        <f t="shared" si="14"/>
        <v>3.4271913193239745E-2</v>
      </c>
      <c r="W53" s="33">
        <f t="shared" si="14"/>
        <v>5.1909242295404438E-2</v>
      </c>
      <c r="X53" s="33">
        <f t="shared" si="14"/>
        <v>5.3490625874782663E-2</v>
      </c>
      <c r="Y53" s="33">
        <f t="shared" si="14"/>
        <v>6.5482583732098198E-2</v>
      </c>
      <c r="Z53" s="33">
        <f t="shared" si="14"/>
        <v>2.179748972201816E-2</v>
      </c>
      <c r="AA53" s="33">
        <f t="shared" si="14"/>
        <v>2.7471309214897231E-2</v>
      </c>
      <c r="AB53" s="33">
        <f t="shared" si="14"/>
        <v>2.5222390615553099E-2</v>
      </c>
      <c r="AC53" s="33">
        <f t="shared" si="14"/>
        <v>4.1094224049134771E-2</v>
      </c>
      <c r="AD53" s="33">
        <f t="shared" si="14"/>
        <v>5.1150614827523685E-2</v>
      </c>
      <c r="AG53" s="42"/>
    </row>
    <row r="54" spans="2:33" x14ac:dyDescent="0.2">
      <c r="B54" s="21" t="str">
        <f>B48</f>
        <v>Medium Trucks</v>
      </c>
      <c r="C54" s="16"/>
      <c r="D54" s="33">
        <f t="shared" ref="D54:AD54" si="15">D48/C36</f>
        <v>7.0380083219693093E-2</v>
      </c>
      <c r="E54" s="33">
        <f t="shared" si="15"/>
        <v>9.064601689399604E-2</v>
      </c>
      <c r="F54" s="33">
        <f t="shared" si="15"/>
        <v>7.6472205226428364E-2</v>
      </c>
      <c r="G54" s="33">
        <f t="shared" si="15"/>
        <v>5.4951359309162728E-3</v>
      </c>
      <c r="H54" s="33">
        <f t="shared" si="15"/>
        <v>0.1188696402953274</v>
      </c>
      <c r="I54" s="33">
        <f t="shared" si="15"/>
        <v>1.3625892294501079E-2</v>
      </c>
      <c r="J54" s="33">
        <f t="shared" si="15"/>
        <v>7.0704474254960223E-2</v>
      </c>
      <c r="K54" s="33">
        <f t="shared" si="15"/>
        <v>3.7032907846410237E-2</v>
      </c>
      <c r="L54" s="33">
        <f t="shared" si="15"/>
        <v>0.10175785317694179</v>
      </c>
      <c r="M54" s="33">
        <f t="shared" si="15"/>
        <v>9.6181820072895621E-2</v>
      </c>
      <c r="N54" s="33">
        <f t="shared" si="15"/>
        <v>2.6885609998630537E-2</v>
      </c>
      <c r="O54" s="33">
        <f t="shared" si="15"/>
        <v>5.5613120801826857E-2</v>
      </c>
      <c r="P54" s="33">
        <f t="shared" si="15"/>
        <v>3.1019825302450909E-2</v>
      </c>
      <c r="Q54" s="33">
        <f t="shared" si="15"/>
        <v>1.634988682394431E-2</v>
      </c>
      <c r="R54" s="33">
        <f t="shared" si="15"/>
        <v>4.7852325835232655E-2</v>
      </c>
      <c r="S54" s="33">
        <f t="shared" si="15"/>
        <v>-5.4538666053035459E-3</v>
      </c>
      <c r="T54" s="33">
        <f t="shared" si="15"/>
        <v>1.1855082133575183E-2</v>
      </c>
      <c r="U54" s="33">
        <f t="shared" si="15"/>
        <v>-2.4471832723181822E-3</v>
      </c>
      <c r="V54" s="33">
        <f t="shared" si="15"/>
        <v>5.4503284088923956E-3</v>
      </c>
      <c r="W54" s="33">
        <f t="shared" si="15"/>
        <v>1.4973584079275163E-2</v>
      </c>
      <c r="X54" s="33">
        <f t="shared" si="15"/>
        <v>6.5947188448496147E-2</v>
      </c>
      <c r="Y54" s="33">
        <f t="shared" si="15"/>
        <v>7.2236459505464465E-2</v>
      </c>
      <c r="Z54" s="33">
        <f t="shared" si="15"/>
        <v>4.4049934019603082E-2</v>
      </c>
      <c r="AA54" s="33">
        <f t="shared" si="15"/>
        <v>3.01521456737808E-2</v>
      </c>
      <c r="AB54" s="33">
        <f t="shared" si="15"/>
        <v>6.6470788223588387E-2</v>
      </c>
      <c r="AC54" s="33">
        <f t="shared" si="15"/>
        <v>7.071138329259255E-2</v>
      </c>
      <c r="AD54" s="33">
        <f t="shared" si="15"/>
        <v>6.1747662103698045E-2</v>
      </c>
      <c r="AG54" s="42"/>
    </row>
    <row r="55" spans="2:33" x14ac:dyDescent="0.2">
      <c r="B55" s="21" t="str">
        <f>B49</f>
        <v>Heavy Trucks</v>
      </c>
      <c r="C55" s="16"/>
      <c r="D55" s="33">
        <f t="shared" ref="D55:AD55" si="16">D49/C37</f>
        <v>4.6062042063670906E-2</v>
      </c>
      <c r="E55" s="33">
        <f t="shared" si="16"/>
        <v>5.1538817382786054E-2</v>
      </c>
      <c r="F55" s="33">
        <f t="shared" si="16"/>
        <v>6.0018543319254061E-2</v>
      </c>
      <c r="G55" s="33">
        <f t="shared" si="16"/>
        <v>7.8078191174305658E-2</v>
      </c>
      <c r="H55" s="33">
        <f t="shared" si="16"/>
        <v>8.5200151923162507E-2</v>
      </c>
      <c r="I55" s="33">
        <f t="shared" si="16"/>
        <v>0.11280983270740859</v>
      </c>
      <c r="J55" s="33">
        <f t="shared" si="16"/>
        <v>6.4222497770545658E-2</v>
      </c>
      <c r="K55" s="33">
        <f t="shared" si="16"/>
        <v>1.5059940145950176E-2</v>
      </c>
      <c r="L55" s="33">
        <f t="shared" si="16"/>
        <v>0.1317968296864743</v>
      </c>
      <c r="M55" s="33">
        <f t="shared" si="16"/>
        <v>0.10271653841218864</v>
      </c>
      <c r="N55" s="33">
        <f t="shared" si="16"/>
        <v>1.5214182656428854E-2</v>
      </c>
      <c r="O55" s="33">
        <f t="shared" si="16"/>
        <v>6.0110385723195742E-2</v>
      </c>
      <c r="P55" s="33">
        <f t="shared" si="16"/>
        <v>2.0255607944870267E-2</v>
      </c>
      <c r="Q55" s="33">
        <f t="shared" si="16"/>
        <v>8.0887067628851547E-2</v>
      </c>
      <c r="R55" s="33">
        <f t="shared" si="16"/>
        <v>6.0241800196679657E-2</v>
      </c>
      <c r="S55" s="33">
        <f t="shared" si="16"/>
        <v>5.9346958082332812E-2</v>
      </c>
      <c r="T55" s="33">
        <f t="shared" si="16"/>
        <v>4.9252444392401389E-2</v>
      </c>
      <c r="U55" s="33">
        <f t="shared" si="16"/>
        <v>5.2740110582433643E-2</v>
      </c>
      <c r="V55" s="33">
        <f t="shared" si="16"/>
        <v>4.485611684732127E-2</v>
      </c>
      <c r="W55" s="33">
        <f t="shared" si="16"/>
        <v>3.5988381763975688E-2</v>
      </c>
      <c r="X55" s="33">
        <f t="shared" si="16"/>
        <v>1.8640594399240856E-2</v>
      </c>
      <c r="Y55" s="33">
        <f t="shared" si="16"/>
        <v>3.9282946016340137E-2</v>
      </c>
      <c r="Z55" s="33">
        <f t="shared" si="16"/>
        <v>6.6533986385983665E-2</v>
      </c>
      <c r="AA55" s="33">
        <f t="shared" si="16"/>
        <v>1.8380619574562513E-2</v>
      </c>
      <c r="AB55" s="33">
        <f t="shared" si="16"/>
        <v>4.5962233299047958E-2</v>
      </c>
      <c r="AC55" s="33">
        <f t="shared" si="16"/>
        <v>5.5274141651698583E-2</v>
      </c>
      <c r="AD55" s="33">
        <f t="shared" si="16"/>
        <v>4.2477122884028828E-2</v>
      </c>
      <c r="AG55" s="42"/>
    </row>
    <row r="56" spans="2:33" x14ac:dyDescent="0.2">
      <c r="B56" s="11"/>
      <c r="AG56" s="42"/>
    </row>
    <row r="57" spans="2:33" x14ac:dyDescent="0.2">
      <c r="B57" s="14" t="s">
        <v>20</v>
      </c>
      <c r="C57" s="17"/>
      <c r="D57" s="17"/>
      <c r="E57" s="17"/>
      <c r="F57" s="17"/>
      <c r="G57" s="17"/>
      <c r="H57" s="17"/>
      <c r="I57" s="17"/>
      <c r="J57" s="17"/>
      <c r="K57" s="17"/>
      <c r="L57" s="17"/>
      <c r="M57" s="17"/>
      <c r="N57" s="17"/>
      <c r="O57" s="17"/>
      <c r="P57" s="17"/>
      <c r="Q57" s="17"/>
      <c r="R57" s="17"/>
      <c r="S57" s="17"/>
      <c r="T57" s="32"/>
      <c r="U57" s="32"/>
      <c r="V57" s="32"/>
      <c r="W57" s="32"/>
      <c r="X57" s="32"/>
      <c r="Y57" s="32"/>
      <c r="Z57" s="32"/>
      <c r="AA57" s="32"/>
      <c r="AB57" s="32"/>
      <c r="AC57" s="32"/>
      <c r="AD57" s="32"/>
      <c r="AG57" s="42"/>
    </row>
    <row r="58" spans="2:33" x14ac:dyDescent="0.2">
      <c r="B58" s="21" t="s">
        <v>12</v>
      </c>
      <c r="C58" s="24">
        <v>17383.015542000001</v>
      </c>
      <c r="D58" s="24">
        <v>17051.5</v>
      </c>
      <c r="E58" s="24">
        <v>17701.291829000002</v>
      </c>
      <c r="F58" s="24">
        <v>18064.017113999998</v>
      </c>
      <c r="G58" s="24">
        <v>18254.544307</v>
      </c>
      <c r="H58" s="24">
        <v>18483.878858</v>
      </c>
      <c r="I58" s="24">
        <v>18666.205577000001</v>
      </c>
      <c r="J58" s="24">
        <v>18707.709077</v>
      </c>
      <c r="K58" s="24">
        <v>18776.904465</v>
      </c>
      <c r="L58" s="24">
        <v>18729.382034999999</v>
      </c>
      <c r="M58" s="24">
        <v>18632.389225999999</v>
      </c>
      <c r="N58" s="24">
        <v>18059.743134</v>
      </c>
      <c r="O58" s="24">
        <v>18551.046505999999</v>
      </c>
      <c r="P58" s="24">
        <v>18413.677083999999</v>
      </c>
      <c r="Q58" s="24">
        <v>18176.918067999999</v>
      </c>
      <c r="R58" s="24">
        <v>18219.604539</v>
      </c>
      <c r="S58" s="24">
        <v>17779.399053000001</v>
      </c>
      <c r="T58" s="27">
        <v>17759.766576999999</v>
      </c>
      <c r="U58" s="27">
        <v>16794.036795</v>
      </c>
      <c r="V58" s="27">
        <v>16726.468640999999</v>
      </c>
      <c r="W58" s="27">
        <v>16906.269247</v>
      </c>
      <c r="X58" s="27">
        <v>16743.554606000002</v>
      </c>
      <c r="Y58" s="27">
        <v>16703.682240999999</v>
      </c>
      <c r="Z58" s="27">
        <v>16463.796323999999</v>
      </c>
      <c r="AA58" s="27">
        <v>15494.349914</v>
      </c>
      <c r="AB58" s="27">
        <v>15386.519302000001</v>
      </c>
      <c r="AC58" s="27">
        <v>15668.127374</v>
      </c>
      <c r="AD58" s="27">
        <v>15287.903233999999</v>
      </c>
      <c r="AG58" s="42"/>
    </row>
    <row r="59" spans="2:33" x14ac:dyDescent="0.2">
      <c r="B59" s="21" t="s">
        <v>13</v>
      </c>
      <c r="C59" s="24">
        <v>20992.469132999999</v>
      </c>
      <c r="D59" s="24">
        <v>20753.751677</v>
      </c>
      <c r="E59" s="24">
        <v>22132.981801999998</v>
      </c>
      <c r="F59" s="24">
        <v>21581.610757999999</v>
      </c>
      <c r="G59" s="24">
        <v>21821.300854000001</v>
      </c>
      <c r="H59" s="24">
        <v>22477.767942999999</v>
      </c>
      <c r="I59" s="24">
        <v>22574.190818999999</v>
      </c>
      <c r="J59" s="24">
        <v>22441.617445</v>
      </c>
      <c r="K59" s="24">
        <v>22475.541893000001</v>
      </c>
      <c r="L59" s="24">
        <v>22195.085434000001</v>
      </c>
      <c r="M59" s="24">
        <v>21658.168867</v>
      </c>
      <c r="N59" s="24">
        <v>21160.062837000001</v>
      </c>
      <c r="O59" s="24">
        <v>21472.203278000001</v>
      </c>
      <c r="P59" s="24">
        <v>21301.618953000001</v>
      </c>
      <c r="Q59" s="24">
        <v>20966.521361999999</v>
      </c>
      <c r="R59" s="24">
        <v>20899.623167000002</v>
      </c>
      <c r="S59" s="24">
        <v>20711.300996999998</v>
      </c>
      <c r="T59" s="27">
        <v>20801.542107000001</v>
      </c>
      <c r="U59" s="27">
        <v>19531.205995</v>
      </c>
      <c r="V59" s="27">
        <v>19233.966380000002</v>
      </c>
      <c r="W59" s="27">
        <v>19413.616475999999</v>
      </c>
      <c r="X59" s="27">
        <v>19078.518908999999</v>
      </c>
      <c r="Y59" s="27">
        <v>19297.987314000002</v>
      </c>
      <c r="Z59" s="27">
        <v>19004.636477</v>
      </c>
      <c r="AA59" s="27">
        <v>17887.575478999999</v>
      </c>
      <c r="AB59" s="27">
        <v>17662.623557999999</v>
      </c>
      <c r="AC59" s="27">
        <v>18033.802769000002</v>
      </c>
      <c r="AD59" s="27">
        <v>17619.394756000002</v>
      </c>
      <c r="AG59" s="42"/>
    </row>
    <row r="60" spans="2:33" x14ac:dyDescent="0.2">
      <c r="B60" s="21" t="s">
        <v>8</v>
      </c>
      <c r="C60" s="24">
        <v>21566.054446999999</v>
      </c>
      <c r="D60" s="24">
        <v>21690.316964000001</v>
      </c>
      <c r="E60" s="24">
        <v>23202.988844</v>
      </c>
      <c r="F60" s="24">
        <v>24241.100205999999</v>
      </c>
      <c r="G60" s="24">
        <v>24557.342707</v>
      </c>
      <c r="H60" s="24">
        <v>26746.36521</v>
      </c>
      <c r="I60" s="24">
        <v>25329.548504999999</v>
      </c>
      <c r="J60" s="24">
        <v>25576.874753</v>
      </c>
      <c r="K60" s="24">
        <v>25107.536355</v>
      </c>
      <c r="L60" s="24">
        <v>26412.956139999998</v>
      </c>
      <c r="M60" s="24">
        <v>24977.969828000001</v>
      </c>
      <c r="N60" s="24">
        <v>26506.304334</v>
      </c>
      <c r="O60" s="24">
        <v>24559.602684000001</v>
      </c>
      <c r="P60" s="24">
        <v>27227.631393</v>
      </c>
      <c r="Q60" s="24">
        <v>28330.841132000001</v>
      </c>
      <c r="R60" s="24">
        <v>25174.974047</v>
      </c>
      <c r="S60" s="24">
        <v>28544.479195</v>
      </c>
      <c r="T60" s="27">
        <v>26790.095841999999</v>
      </c>
      <c r="U60" s="27">
        <v>25078.989633000001</v>
      </c>
      <c r="V60" s="27">
        <v>23434.839849</v>
      </c>
      <c r="W60" s="27">
        <v>26353.027825000001</v>
      </c>
      <c r="X60" s="27">
        <v>25634.462195</v>
      </c>
      <c r="Y60" s="27">
        <v>25497.683116</v>
      </c>
      <c r="Z60" s="27">
        <v>26003.311766999999</v>
      </c>
      <c r="AA60" s="27">
        <v>24778.158355</v>
      </c>
      <c r="AB60" s="27">
        <v>23508.813815000001</v>
      </c>
      <c r="AC60" s="27">
        <v>22998.685192000001</v>
      </c>
      <c r="AD60" s="27">
        <v>22420.027409999999</v>
      </c>
      <c r="AG60" s="42"/>
    </row>
    <row r="61" spans="2:33" x14ac:dyDescent="0.2">
      <c r="B61" s="21" t="s">
        <v>9</v>
      </c>
      <c r="C61" s="24">
        <v>52400.437329</v>
      </c>
      <c r="D61" s="24">
        <v>48301.942378</v>
      </c>
      <c r="E61" s="24">
        <v>50615.132473999998</v>
      </c>
      <c r="F61" s="24">
        <v>56811.933218999999</v>
      </c>
      <c r="G61" s="24">
        <v>66086.370766000007</v>
      </c>
      <c r="H61" s="24">
        <v>71237.665911999997</v>
      </c>
      <c r="I61" s="24">
        <v>77514.489560000002</v>
      </c>
      <c r="J61" s="24">
        <v>82751.673572999993</v>
      </c>
      <c r="K61" s="24">
        <v>78866.193136999995</v>
      </c>
      <c r="L61" s="24">
        <v>86413.611529999995</v>
      </c>
      <c r="M61" s="24">
        <v>93281.100877000004</v>
      </c>
      <c r="N61" s="24">
        <v>83963.591182999997</v>
      </c>
      <c r="O61" s="24">
        <v>82549.953213999994</v>
      </c>
      <c r="P61" s="24">
        <v>85738.819117000006</v>
      </c>
      <c r="Q61" s="24">
        <v>90366.877315000005</v>
      </c>
      <c r="R61" s="24">
        <v>93719.501747999995</v>
      </c>
      <c r="S61" s="24">
        <v>86679.152457999997</v>
      </c>
      <c r="T61" s="27">
        <v>86875.259774000006</v>
      </c>
      <c r="U61" s="27">
        <v>85455.002888999996</v>
      </c>
      <c r="V61" s="27">
        <v>89786.961018999995</v>
      </c>
      <c r="W61" s="27">
        <v>91581.659843999994</v>
      </c>
      <c r="X61" s="27">
        <v>92805.519765999998</v>
      </c>
      <c r="Y61" s="27">
        <v>90688.598601000005</v>
      </c>
      <c r="Z61" s="27">
        <v>92183.629606000002</v>
      </c>
      <c r="AA61" s="27">
        <v>89230.954029999994</v>
      </c>
      <c r="AB61" s="27">
        <v>83591.677135000005</v>
      </c>
      <c r="AC61" s="27">
        <v>79501.451973000003</v>
      </c>
      <c r="AD61" s="27">
        <v>81392.434349000003</v>
      </c>
      <c r="AG61" s="42"/>
    </row>
    <row r="62" spans="2:33" ht="10.5" customHeight="1" x14ac:dyDescent="0.2">
      <c r="B62" s="11"/>
      <c r="AG62" s="42"/>
    </row>
    <row r="63" spans="2:33" x14ac:dyDescent="0.2">
      <c r="B63" s="11"/>
      <c r="AG63" s="42"/>
    </row>
    <row r="64" spans="2:33" ht="25.5" x14ac:dyDescent="0.2">
      <c r="B64" s="15" t="s">
        <v>18</v>
      </c>
      <c r="AG64" s="42"/>
    </row>
    <row r="65" spans="1:33" x14ac:dyDescent="0.2">
      <c r="B65" s="22" t="s">
        <v>25</v>
      </c>
      <c r="C65" s="16">
        <v>12.872584</v>
      </c>
      <c r="D65" s="16">
        <v>12.690975</v>
      </c>
      <c r="E65" s="16">
        <v>12.570957</v>
      </c>
      <c r="F65" s="16">
        <v>12.476820999999999</v>
      </c>
      <c r="G65" s="16">
        <v>12.476219</v>
      </c>
      <c r="H65" s="16">
        <v>12.443307000000001</v>
      </c>
      <c r="I65" s="16">
        <v>12.429385999999999</v>
      </c>
      <c r="J65" s="16">
        <v>12.402381</v>
      </c>
      <c r="K65" s="16">
        <v>12.366502000000001</v>
      </c>
      <c r="L65" s="16">
        <v>12.344590999999999</v>
      </c>
      <c r="M65" s="16">
        <v>12.274993</v>
      </c>
      <c r="N65" s="16">
        <v>12.13137</v>
      </c>
      <c r="O65" s="16">
        <v>12.070487999999999</v>
      </c>
      <c r="P65" s="16">
        <v>11.995704</v>
      </c>
      <c r="Q65" s="16">
        <v>11.929461</v>
      </c>
      <c r="R65" s="16">
        <v>11.851818</v>
      </c>
      <c r="S65" s="16">
        <v>11.802216</v>
      </c>
      <c r="T65" s="26">
        <v>11.816565000000001</v>
      </c>
      <c r="U65" s="26">
        <v>11.713486</v>
      </c>
      <c r="V65" s="26">
        <v>11.609662999999999</v>
      </c>
      <c r="W65" s="26">
        <v>11.524367</v>
      </c>
      <c r="X65" s="26">
        <v>11.487292999999999</v>
      </c>
      <c r="Y65" s="26">
        <v>11.463139999999999</v>
      </c>
      <c r="Z65" s="26">
        <v>11.334789000000001</v>
      </c>
      <c r="AA65" s="26">
        <v>11.308002</v>
      </c>
      <c r="AB65" s="26">
        <v>10.946714</v>
      </c>
      <c r="AC65" s="26">
        <v>10.847068</v>
      </c>
      <c r="AD65" s="26">
        <v>10.722761</v>
      </c>
      <c r="AG65" s="42"/>
    </row>
    <row r="66" spans="1:33" x14ac:dyDescent="0.2">
      <c r="B66" s="22" t="s">
        <v>26</v>
      </c>
      <c r="C66" s="16">
        <v>9.9904860000000006</v>
      </c>
      <c r="D66" s="16">
        <v>10.201999000000001</v>
      </c>
      <c r="E66" s="16">
        <v>10.246162999999999</v>
      </c>
      <c r="F66" s="16">
        <v>10.583468</v>
      </c>
      <c r="G66" s="16">
        <v>10.961283</v>
      </c>
      <c r="H66" s="16">
        <v>11.292365</v>
      </c>
      <c r="I66" s="16">
        <v>11.608767</v>
      </c>
      <c r="J66" s="16">
        <v>11.712052999999999</v>
      </c>
      <c r="K66" s="16">
        <v>11.923655</v>
      </c>
      <c r="L66" s="16">
        <v>12.005165999999999</v>
      </c>
      <c r="M66" s="16">
        <v>12.14864</v>
      </c>
      <c r="N66" s="16">
        <v>12.163368</v>
      </c>
      <c r="O66" s="16">
        <v>12.371523</v>
      </c>
      <c r="P66" s="16">
        <v>12.293736000000001</v>
      </c>
      <c r="Q66" s="16">
        <v>12.206898000000001</v>
      </c>
      <c r="R66" s="16">
        <v>12.127347</v>
      </c>
      <c r="S66" s="16">
        <v>12.237926</v>
      </c>
      <c r="T66" s="26">
        <v>12.102245</v>
      </c>
      <c r="U66" s="26">
        <v>11.505089</v>
      </c>
      <c r="V66" s="26">
        <v>10.92736</v>
      </c>
      <c r="W66" s="26">
        <v>10.374950999999999</v>
      </c>
      <c r="X66" s="26">
        <v>9.8762419999999995</v>
      </c>
      <c r="Y66" s="26">
        <v>9.437519</v>
      </c>
      <c r="Z66" s="26">
        <v>9.1209089999999993</v>
      </c>
      <c r="AA66" s="26">
        <v>8.8710159999999991</v>
      </c>
      <c r="AB66" s="26">
        <v>8.8030489999999997</v>
      </c>
      <c r="AC66" s="26">
        <v>8.7973189999999999</v>
      </c>
      <c r="AD66" s="26">
        <v>8.8174229999999998</v>
      </c>
      <c r="AG66" s="42"/>
    </row>
    <row r="67" spans="1:33" x14ac:dyDescent="0.2">
      <c r="B67" s="11"/>
      <c r="C67" s="16"/>
      <c r="D67" s="16"/>
      <c r="E67" s="16"/>
      <c r="F67" s="16"/>
      <c r="G67" s="16"/>
      <c r="H67" s="16"/>
      <c r="I67" s="16"/>
      <c r="J67" s="16"/>
      <c r="K67" s="16"/>
      <c r="L67" s="16"/>
      <c r="M67" s="16"/>
      <c r="N67" s="16"/>
      <c r="O67" s="16"/>
      <c r="P67" s="16"/>
      <c r="Q67" s="16"/>
      <c r="R67" s="16"/>
      <c r="S67" s="16"/>
      <c r="T67" s="26"/>
      <c r="U67" s="26"/>
      <c r="V67" s="26"/>
      <c r="W67" s="26"/>
      <c r="X67" s="26"/>
      <c r="Y67" s="26"/>
      <c r="Z67" s="26"/>
      <c r="AA67" s="26"/>
      <c r="AB67" s="26"/>
      <c r="AC67" s="26"/>
      <c r="AD67" s="26"/>
      <c r="AG67" s="42"/>
    </row>
    <row r="68" spans="1:33" ht="25.5" x14ac:dyDescent="0.2">
      <c r="B68" s="15" t="s">
        <v>19</v>
      </c>
      <c r="C68" s="16"/>
      <c r="D68" s="16"/>
      <c r="E68" s="16"/>
      <c r="F68" s="16"/>
      <c r="G68" s="16"/>
      <c r="H68" s="16"/>
      <c r="I68" s="16"/>
      <c r="J68" s="16"/>
      <c r="K68" s="16"/>
      <c r="L68" s="16"/>
      <c r="M68" s="16"/>
      <c r="N68" s="16"/>
      <c r="O68" s="16"/>
      <c r="P68" s="16"/>
      <c r="Q68" s="16"/>
      <c r="R68" s="16"/>
      <c r="S68" s="16"/>
      <c r="T68" s="26"/>
      <c r="U68" s="26"/>
      <c r="V68" s="26"/>
      <c r="W68" s="26"/>
      <c r="X68" s="26"/>
      <c r="Y68" s="26"/>
      <c r="Z68" s="26"/>
      <c r="AA68" s="26"/>
      <c r="AB68" s="26"/>
      <c r="AC68" s="26"/>
      <c r="AD68" s="26"/>
      <c r="AG68" s="42"/>
    </row>
    <row r="69" spans="1:33" x14ac:dyDescent="0.2">
      <c r="B69" s="22" t="s">
        <v>27</v>
      </c>
      <c r="C69" s="16">
        <v>13.318521</v>
      </c>
      <c r="D69" s="16">
        <v>13.082992000000001</v>
      </c>
      <c r="E69" s="16">
        <v>12.923438000000001</v>
      </c>
      <c r="F69" s="16">
        <v>12.783480000000001</v>
      </c>
      <c r="G69" s="16">
        <v>12.766647000000001</v>
      </c>
      <c r="H69" s="16">
        <v>12.707941</v>
      </c>
      <c r="I69" s="16">
        <v>12.678328</v>
      </c>
      <c r="J69" s="16">
        <v>12.652678</v>
      </c>
      <c r="K69" s="16">
        <v>12.621978</v>
      </c>
      <c r="L69" s="16">
        <v>12.610773999999999</v>
      </c>
      <c r="M69" s="16">
        <v>12.55485</v>
      </c>
      <c r="N69" s="16">
        <v>12.419266</v>
      </c>
      <c r="O69" s="16">
        <v>12.360905000000001</v>
      </c>
      <c r="P69" s="16">
        <v>12.280627000000001</v>
      </c>
      <c r="Q69" s="16">
        <v>12.213450999999999</v>
      </c>
      <c r="R69" s="16">
        <v>12.140772</v>
      </c>
      <c r="S69" s="16">
        <v>12.089479000000001</v>
      </c>
      <c r="T69" s="26">
        <v>12.106818000000001</v>
      </c>
      <c r="U69" s="26">
        <v>12.003591999999999</v>
      </c>
      <c r="V69" s="26">
        <v>11.894978</v>
      </c>
      <c r="W69" s="26">
        <v>11.809061</v>
      </c>
      <c r="X69" s="26">
        <v>11.765086999999999</v>
      </c>
      <c r="Y69" s="26">
        <v>11.735193000000001</v>
      </c>
      <c r="Z69" s="26">
        <v>11.608758</v>
      </c>
      <c r="AA69" s="26">
        <v>11.584035</v>
      </c>
      <c r="AB69" s="26">
        <v>11.210324</v>
      </c>
      <c r="AC69" s="26">
        <v>11.114860999999999</v>
      </c>
      <c r="AD69" s="26">
        <v>10.992915999999999</v>
      </c>
      <c r="AG69" s="42"/>
    </row>
    <row r="70" spans="1:33" x14ac:dyDescent="0.2">
      <c r="B70" s="22" t="s">
        <v>28</v>
      </c>
      <c r="C70" s="16">
        <v>10.132482</v>
      </c>
      <c r="D70" s="16">
        <v>10.341813</v>
      </c>
      <c r="E70" s="16">
        <v>10.392545999999999</v>
      </c>
      <c r="F70" s="16">
        <v>10.711328999999999</v>
      </c>
      <c r="G70" s="16">
        <v>11.090408</v>
      </c>
      <c r="H70" s="16">
        <v>11.419589</v>
      </c>
      <c r="I70" s="16">
        <v>11.723661999999999</v>
      </c>
      <c r="J70" s="16">
        <v>11.827691</v>
      </c>
      <c r="K70" s="16">
        <v>12.054285999999999</v>
      </c>
      <c r="L70" s="16">
        <v>12.142061</v>
      </c>
      <c r="M70" s="16">
        <v>12.288573</v>
      </c>
      <c r="N70" s="16">
        <v>12.31861</v>
      </c>
      <c r="O70" s="16">
        <v>12.537964000000001</v>
      </c>
      <c r="P70" s="16">
        <v>12.454613</v>
      </c>
      <c r="Q70" s="16">
        <v>12.394024</v>
      </c>
      <c r="R70" s="16">
        <v>12.368705</v>
      </c>
      <c r="S70" s="16">
        <v>12.422646</v>
      </c>
      <c r="T70" s="26">
        <v>12.367853999999999</v>
      </c>
      <c r="U70" s="26">
        <v>11.924262000000001</v>
      </c>
      <c r="V70" s="26">
        <v>11.454181</v>
      </c>
      <c r="W70" s="26">
        <v>10.954459999999999</v>
      </c>
      <c r="X70" s="26">
        <v>10.471962</v>
      </c>
      <c r="Y70" s="26">
        <v>9.9987849999999998</v>
      </c>
      <c r="Z70" s="26">
        <v>9.6327289999999994</v>
      </c>
      <c r="AA70" s="26">
        <v>9.2927339999999994</v>
      </c>
      <c r="AB70" s="26">
        <v>9.1567469999999993</v>
      </c>
      <c r="AC70" s="26">
        <v>9.0818469999999998</v>
      </c>
      <c r="AD70" s="26">
        <v>9.0763169999999995</v>
      </c>
      <c r="AG70" s="42"/>
    </row>
    <row r="71" spans="1:33" x14ac:dyDescent="0.2">
      <c r="B71" s="11"/>
      <c r="C71" s="16"/>
      <c r="D71" s="16"/>
      <c r="E71" s="16"/>
      <c r="F71" s="16"/>
      <c r="G71" s="16"/>
      <c r="H71" s="16"/>
      <c r="I71" s="16"/>
      <c r="J71" s="16"/>
      <c r="K71" s="16"/>
      <c r="L71" s="16"/>
      <c r="M71" s="16"/>
      <c r="N71" s="16"/>
      <c r="O71" s="16"/>
      <c r="P71" s="16"/>
      <c r="Q71" s="16"/>
      <c r="R71" s="16"/>
      <c r="S71" s="16"/>
      <c r="T71" s="26"/>
      <c r="U71" s="26"/>
      <c r="V71" s="26"/>
      <c r="W71" s="26"/>
      <c r="X71" s="26"/>
      <c r="Y71" s="26"/>
      <c r="Z71" s="26"/>
      <c r="AA71" s="26"/>
      <c r="AB71" s="26"/>
      <c r="AC71" s="26"/>
      <c r="AD71" s="26"/>
      <c r="AG71" s="42"/>
    </row>
    <row r="72" spans="1:33" ht="25.5" x14ac:dyDescent="0.2">
      <c r="B72" s="15" t="s">
        <v>16</v>
      </c>
      <c r="C72" s="16"/>
      <c r="D72" s="16"/>
      <c r="E72" s="16"/>
      <c r="F72" s="16"/>
      <c r="G72" s="16"/>
      <c r="H72" s="16"/>
      <c r="I72" s="16"/>
      <c r="J72" s="16"/>
      <c r="K72" s="16"/>
      <c r="L72" s="16"/>
      <c r="M72" s="16"/>
      <c r="N72" s="16"/>
      <c r="O72" s="16"/>
      <c r="P72" s="16"/>
      <c r="Q72" s="16"/>
      <c r="R72" s="16"/>
      <c r="S72" s="16"/>
      <c r="T72" s="26"/>
      <c r="U72" s="26"/>
      <c r="V72" s="26"/>
      <c r="W72" s="26"/>
      <c r="X72" s="26"/>
      <c r="Y72" s="26"/>
      <c r="Z72" s="26"/>
      <c r="AA72" s="26"/>
      <c r="AB72" s="26"/>
      <c r="AC72" s="26"/>
      <c r="AD72" s="26"/>
      <c r="AG72" s="42"/>
    </row>
    <row r="73" spans="1:33" x14ac:dyDescent="0.2">
      <c r="B73" s="22" t="s">
        <v>27</v>
      </c>
      <c r="C73" s="16">
        <v>27.1</v>
      </c>
      <c r="D73" s="16">
        <v>26.87</v>
      </c>
      <c r="E73" s="16">
        <v>26.68</v>
      </c>
      <c r="F73" s="16">
        <v>26.5</v>
      </c>
      <c r="G73" s="16">
        <v>26.44</v>
      </c>
      <c r="H73" s="16">
        <v>26.21</v>
      </c>
      <c r="I73" s="16">
        <v>26.1</v>
      </c>
      <c r="J73" s="16">
        <v>26.02</v>
      </c>
      <c r="K73" s="16">
        <v>25.88</v>
      </c>
      <c r="L73" s="16">
        <v>25.68</v>
      </c>
      <c r="M73" s="16">
        <v>25.59</v>
      </c>
      <c r="N73" s="16">
        <v>25.75</v>
      </c>
      <c r="O73" s="16">
        <v>25.67</v>
      </c>
      <c r="P73" s="16">
        <v>25.47</v>
      </c>
      <c r="Q73" s="16">
        <v>25.38</v>
      </c>
      <c r="R73" s="16">
        <v>25.300713999999999</v>
      </c>
      <c r="S73" s="16">
        <v>22.967583999999999</v>
      </c>
      <c r="T73" s="26">
        <v>22.061216999999999</v>
      </c>
      <c r="U73" s="26">
        <v>23.181125000000002</v>
      </c>
      <c r="V73" s="26">
        <v>25.34808</v>
      </c>
      <c r="W73" s="26">
        <v>23.211690000000001</v>
      </c>
      <c r="X73" s="26">
        <v>23.074736999999999</v>
      </c>
      <c r="Y73" s="26">
        <v>22.797642</v>
      </c>
      <c r="Z73" s="26">
        <v>22.408321000000001</v>
      </c>
      <c r="AA73" s="26">
        <v>22.133289000000001</v>
      </c>
      <c r="AB73" s="26">
        <v>21.33</v>
      </c>
      <c r="AC73" s="26">
        <v>21.02</v>
      </c>
      <c r="AD73" s="26">
        <v>20.71</v>
      </c>
      <c r="AG73" s="42"/>
    </row>
    <row r="74" spans="1:33" x14ac:dyDescent="0.2">
      <c r="B74" s="22" t="s">
        <v>28</v>
      </c>
      <c r="C74" s="16">
        <v>27.57</v>
      </c>
      <c r="D74" s="16">
        <v>27.36</v>
      </c>
      <c r="E74" s="16">
        <v>27.18</v>
      </c>
      <c r="F74" s="16">
        <v>27.02</v>
      </c>
      <c r="G74" s="16">
        <v>26.84</v>
      </c>
      <c r="H74" s="16">
        <v>26.7</v>
      </c>
      <c r="I74" s="16">
        <v>26.79</v>
      </c>
      <c r="J74" s="16">
        <v>26.6</v>
      </c>
      <c r="K74" s="16">
        <v>26.49</v>
      </c>
      <c r="L74" s="16">
        <v>26.33</v>
      </c>
      <c r="M74" s="16">
        <v>26.29</v>
      </c>
      <c r="N74" s="16">
        <v>26.24</v>
      </c>
      <c r="O74" s="16">
        <v>26.18</v>
      </c>
      <c r="P74" s="16">
        <v>26.1</v>
      </c>
      <c r="Q74" s="16">
        <v>26.05</v>
      </c>
      <c r="R74" s="16">
        <v>25.98</v>
      </c>
      <c r="S74" s="16">
        <v>23.3</v>
      </c>
      <c r="T74" s="26">
        <v>23.59</v>
      </c>
      <c r="U74" s="26">
        <v>23.31</v>
      </c>
      <c r="V74" s="26">
        <v>24.35</v>
      </c>
      <c r="W74" s="26">
        <v>23.16</v>
      </c>
      <c r="X74" s="26">
        <v>22.8</v>
      </c>
      <c r="Y74" s="26">
        <v>22.44</v>
      </c>
      <c r="Z74" s="26">
        <v>22.08</v>
      </c>
      <c r="AA74" s="26">
        <v>21.72</v>
      </c>
      <c r="AB74" s="26">
        <v>21.36</v>
      </c>
      <c r="AC74" s="26">
        <v>21</v>
      </c>
      <c r="AD74" s="26">
        <v>20.64</v>
      </c>
      <c r="AG74" s="42"/>
    </row>
    <row r="75" spans="1:33" x14ac:dyDescent="0.2">
      <c r="B75" s="11"/>
      <c r="AG75" s="42"/>
    </row>
    <row r="76" spans="1:33" ht="25.5" x14ac:dyDescent="0.2">
      <c r="B76" s="15" t="s">
        <v>17</v>
      </c>
      <c r="C76" s="16"/>
      <c r="D76" s="16"/>
      <c r="E76" s="16"/>
      <c r="F76" s="16"/>
      <c r="G76" s="16"/>
      <c r="H76" s="16"/>
      <c r="I76" s="16"/>
      <c r="J76" s="16"/>
      <c r="K76" s="16"/>
      <c r="L76" s="16"/>
      <c r="M76" s="16"/>
      <c r="N76" s="16"/>
      <c r="O76" s="16"/>
      <c r="P76" s="16"/>
      <c r="Q76" s="16"/>
      <c r="R76" s="16"/>
      <c r="S76" s="16"/>
      <c r="T76" s="26"/>
      <c r="U76" s="26"/>
      <c r="V76" s="26"/>
      <c r="W76" s="26"/>
      <c r="X76" s="26"/>
      <c r="Y76" s="26"/>
      <c r="Z76" s="26"/>
      <c r="AA76" s="26"/>
      <c r="AB76" s="26"/>
      <c r="AC76" s="26"/>
      <c r="AD76" s="26"/>
      <c r="AG76" s="42"/>
    </row>
    <row r="77" spans="1:33" x14ac:dyDescent="0.2">
      <c r="B77" s="22" t="s">
        <v>28</v>
      </c>
      <c r="C77" s="16">
        <v>42.533200000000001</v>
      </c>
      <c r="D77" s="16">
        <v>42.068145999999999</v>
      </c>
      <c r="E77" s="16">
        <v>41.519440000000003</v>
      </c>
      <c r="F77" s="16">
        <v>41.060142999999997</v>
      </c>
      <c r="G77" s="16">
        <v>40.527557000000002</v>
      </c>
      <c r="H77" s="16">
        <v>39.950220000000002</v>
      </c>
      <c r="I77" s="16">
        <v>40.327334</v>
      </c>
      <c r="J77" s="16">
        <v>39.705095</v>
      </c>
      <c r="K77" s="16">
        <v>39.101554999999998</v>
      </c>
      <c r="L77" s="16">
        <v>38.491317000000002</v>
      </c>
      <c r="M77" s="16">
        <v>37.895294999999997</v>
      </c>
      <c r="N77" s="16">
        <v>37.302484999999997</v>
      </c>
      <c r="O77" s="16">
        <v>36.721024999999997</v>
      </c>
      <c r="P77" s="16">
        <v>36.125537000000001</v>
      </c>
      <c r="Q77" s="16">
        <v>35.526012999999999</v>
      </c>
      <c r="R77" s="16">
        <v>34.860962999999998</v>
      </c>
      <c r="S77" s="16">
        <v>34.88252</v>
      </c>
      <c r="T77" s="26">
        <v>35.279353999999998</v>
      </c>
      <c r="U77" s="26">
        <v>35.578397000000002</v>
      </c>
      <c r="V77" s="26">
        <v>33.512098000000002</v>
      </c>
      <c r="W77" s="26">
        <v>33.546773000000002</v>
      </c>
      <c r="X77" s="26">
        <v>33.158589999999997</v>
      </c>
      <c r="Y77" s="26">
        <v>32.718114999999997</v>
      </c>
      <c r="Z77" s="26">
        <v>32.367552000000003</v>
      </c>
      <c r="AA77" s="26">
        <v>31.953109000000001</v>
      </c>
      <c r="AB77" s="26">
        <v>31.558966000000002</v>
      </c>
      <c r="AC77" s="26">
        <v>31.172516999999999</v>
      </c>
      <c r="AD77" s="26">
        <v>30.775974999999999</v>
      </c>
      <c r="AG77" s="42"/>
    </row>
    <row r="78" spans="1:33" x14ac:dyDescent="0.2">
      <c r="B78" s="8"/>
    </row>
    <row r="79" spans="1:33" x14ac:dyDescent="0.2">
      <c r="A79" t="s">
        <v>23</v>
      </c>
      <c r="C79" s="3"/>
      <c r="D79" s="3"/>
      <c r="E79" s="3"/>
      <c r="F79" s="3"/>
      <c r="G79" s="3"/>
      <c r="H79" s="3"/>
      <c r="I79" s="3"/>
      <c r="J79" s="3"/>
      <c r="K79" s="3"/>
      <c r="L79" s="3"/>
      <c r="M79" s="3"/>
      <c r="N79" s="3"/>
      <c r="O79" s="3"/>
      <c r="P79" s="3"/>
      <c r="Q79" s="3"/>
      <c r="R79" s="3"/>
      <c r="S79" s="3"/>
      <c r="T79" s="10"/>
      <c r="U79" s="10"/>
      <c r="V79" s="10"/>
      <c r="W79" s="10"/>
      <c r="X79" s="10"/>
      <c r="Y79" s="10"/>
      <c r="Z79" s="10"/>
      <c r="AA79" s="10"/>
      <c r="AB79" s="10"/>
      <c r="AC79" s="10"/>
      <c r="AD79" s="10"/>
    </row>
    <row r="80" spans="1:33" x14ac:dyDescent="0.2">
      <c r="A80" t="s">
        <v>24</v>
      </c>
    </row>
  </sheetData>
  <sheetProtection algorithmName="SHA-512" hashValue="9r6EEvyKPC4USeEO3rkhYB/CkMbpD1yclNOnRkTR+M6L9TwqF6drHN56g3ySqK1MK53p6QK7M6AQhXGOsaXHSg==" saltValue="ni8UGSHyNCfxJrcSnHi8mA==" spinCount="100000" sheet="1" objects="1" scenarios="1"/>
  <phoneticPr fontId="0" type="noConversion"/>
  <pageMargins left="0.5" right="0.5" top="0.75" bottom="0.75" header="0.5" footer="0.35"/>
  <pageSetup paperSize="5" scale="64" orientation="landscape" r:id="rId1"/>
  <headerFooter alignWithMargins="0">
    <oddFooter>&amp;LOffice of Energy Efficiency, Demand Policy and Analysis Division, Market Analysis Group.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61"/>
  <sheetViews>
    <sheetView workbookViewId="0">
      <selection activeCell="H36" sqref="H36"/>
    </sheetView>
  </sheetViews>
  <sheetFormatPr defaultRowHeight="12.75" x14ac:dyDescent="0.2"/>
  <cols>
    <col min="2" max="2" width="38.42578125" customWidth="1"/>
    <col min="3" max="3" width="19.140625" customWidth="1"/>
    <col min="4" max="4" width="24.28515625" customWidth="1"/>
  </cols>
  <sheetData>
    <row r="1" spans="2:4" x14ac:dyDescent="0.2">
      <c r="D1" t="s">
        <v>107</v>
      </c>
    </row>
    <row r="2" spans="2:4" x14ac:dyDescent="0.2">
      <c r="B2" s="40" t="s">
        <v>108</v>
      </c>
      <c r="C2" s="40">
        <v>35</v>
      </c>
      <c r="D2" s="40" t="s">
        <v>109</v>
      </c>
    </row>
    <row r="3" spans="2:4" x14ac:dyDescent="0.2">
      <c r="B3" s="40" t="s">
        <v>110</v>
      </c>
      <c r="C3" s="83">
        <f>C2/278*1000</f>
        <v>125.89928057553956</v>
      </c>
      <c r="D3" s="40" t="s">
        <v>111</v>
      </c>
    </row>
    <row r="4" spans="2:4" x14ac:dyDescent="0.2">
      <c r="B4" s="41" t="s">
        <v>170</v>
      </c>
      <c r="C4" s="40">
        <v>49</v>
      </c>
      <c r="D4" s="40" t="s">
        <v>112</v>
      </c>
    </row>
    <row r="5" spans="2:4" x14ac:dyDescent="0.2">
      <c r="B5" s="41" t="s">
        <v>171</v>
      </c>
      <c r="C5" s="40">
        <v>70</v>
      </c>
      <c r="D5" s="40" t="s">
        <v>113</v>
      </c>
    </row>
    <row r="6" spans="2:4" x14ac:dyDescent="0.2">
      <c r="B6" s="40" t="s">
        <v>114</v>
      </c>
      <c r="C6" s="83">
        <f>ggfactorkwh*278/1000</f>
        <v>35.027999999999999</v>
      </c>
      <c r="D6" s="40" t="s">
        <v>115</v>
      </c>
    </row>
    <row r="7" spans="2:4" x14ac:dyDescent="0.2">
      <c r="B7" s="40" t="s">
        <v>110</v>
      </c>
      <c r="C7" s="121">
        <f>'The Low Carbon Scenario'!C83</f>
        <v>126</v>
      </c>
      <c r="D7" s="40" t="s">
        <v>116</v>
      </c>
    </row>
    <row r="8" spans="2:4" x14ac:dyDescent="0.2">
      <c r="B8" s="40" t="s">
        <v>117</v>
      </c>
      <c r="C8" s="40">
        <v>10.7639</v>
      </c>
      <c r="D8" s="40" t="s">
        <v>118</v>
      </c>
    </row>
    <row r="9" spans="2:4" x14ac:dyDescent="0.2">
      <c r="B9" s="40" t="s">
        <v>119</v>
      </c>
      <c r="C9" s="40">
        <v>23</v>
      </c>
      <c r="D9" s="40" t="s">
        <v>120</v>
      </c>
    </row>
    <row r="10" spans="2:4" x14ac:dyDescent="0.2">
      <c r="B10" s="40"/>
      <c r="C10" s="40"/>
      <c r="D10" s="40"/>
    </row>
    <row r="11" spans="2:4" ht="15.75" x14ac:dyDescent="0.25">
      <c r="B11" s="97" t="s">
        <v>174</v>
      </c>
      <c r="C11" s="40"/>
      <c r="D11" s="40"/>
    </row>
    <row r="12" spans="2:4" x14ac:dyDescent="0.2">
      <c r="B12" s="41" t="s">
        <v>172</v>
      </c>
      <c r="C12" s="40">
        <v>1</v>
      </c>
      <c r="D12" s="41" t="s">
        <v>178</v>
      </c>
    </row>
    <row r="13" spans="2:4" x14ac:dyDescent="0.2">
      <c r="B13" s="41" t="s">
        <v>175</v>
      </c>
      <c r="C13" s="40">
        <v>1</v>
      </c>
      <c r="D13" s="41" t="s">
        <v>179</v>
      </c>
    </row>
    <row r="14" spans="2:4" x14ac:dyDescent="0.2">
      <c r="B14" s="41" t="s">
        <v>176</v>
      </c>
      <c r="C14" s="40">
        <v>12</v>
      </c>
      <c r="D14" s="41" t="s">
        <v>177</v>
      </c>
    </row>
    <row r="15" spans="2:4" x14ac:dyDescent="0.2">
      <c r="B15" s="41" t="s">
        <v>180</v>
      </c>
      <c r="C15" s="40">
        <v>0.12</v>
      </c>
      <c r="D15" s="40" t="s">
        <v>121</v>
      </c>
    </row>
    <row r="16" spans="2:4" x14ac:dyDescent="0.2">
      <c r="B16" s="40" t="s">
        <v>122</v>
      </c>
      <c r="C16" s="40">
        <v>20</v>
      </c>
      <c r="D16" s="40" t="s">
        <v>123</v>
      </c>
    </row>
    <row r="17" spans="2:5" x14ac:dyDescent="0.2">
      <c r="B17" s="40" t="s">
        <v>124</v>
      </c>
      <c r="C17" s="40">
        <v>13.333299999999999</v>
      </c>
      <c r="D17" s="40" t="s">
        <v>125</v>
      </c>
    </row>
    <row r="18" spans="2:5" x14ac:dyDescent="0.2">
      <c r="B18" s="40" t="s">
        <v>126</v>
      </c>
      <c r="C18" s="40">
        <v>3.9E-2</v>
      </c>
      <c r="D18" s="40" t="s">
        <v>127</v>
      </c>
    </row>
    <row r="19" spans="2:5" x14ac:dyDescent="0.2">
      <c r="B19" s="40" t="s">
        <v>128</v>
      </c>
      <c r="C19" s="40">
        <v>3.6999999999999998E-2</v>
      </c>
      <c r="D19" s="40" t="s">
        <v>129</v>
      </c>
    </row>
    <row r="20" spans="2:5" x14ac:dyDescent="0.2">
      <c r="B20" s="40" t="s">
        <v>130</v>
      </c>
      <c r="C20" s="40">
        <v>30</v>
      </c>
      <c r="D20" s="40" t="s">
        <v>131</v>
      </c>
    </row>
    <row r="21" spans="2:5" x14ac:dyDescent="0.2">
      <c r="B21" s="40" t="s">
        <v>132</v>
      </c>
      <c r="C21" s="84">
        <v>3.5969999999999999E-3</v>
      </c>
      <c r="D21" s="40" t="s">
        <v>133</v>
      </c>
    </row>
    <row r="22" spans="2:5" x14ac:dyDescent="0.2">
      <c r="B22" s="96" t="s">
        <v>181</v>
      </c>
      <c r="C22" s="84"/>
      <c r="D22" s="40"/>
    </row>
    <row r="23" spans="2:5" x14ac:dyDescent="0.2">
      <c r="B23" s="96" t="s">
        <v>182</v>
      </c>
      <c r="C23" s="120">
        <f>'The Low Carbon Scenario'!C81</f>
        <v>1</v>
      </c>
      <c r="D23" s="96" t="s">
        <v>185</v>
      </c>
    </row>
    <row r="24" spans="2:5" x14ac:dyDescent="0.2">
      <c r="B24" s="49" t="s">
        <v>183</v>
      </c>
      <c r="C24" s="120">
        <f>'The Low Carbon Scenario'!C82</f>
        <v>1</v>
      </c>
      <c r="D24" s="96" t="s">
        <v>186</v>
      </c>
    </row>
    <row r="25" spans="2:5" x14ac:dyDescent="0.2">
      <c r="B25" s="49" t="s">
        <v>184</v>
      </c>
      <c r="C25" s="120">
        <f>'The Low Carbon Scenario'!C80</f>
        <v>0.12</v>
      </c>
      <c r="D25" s="96" t="s">
        <v>187</v>
      </c>
    </row>
    <row r="26" spans="2:5" x14ac:dyDescent="0.2">
      <c r="B26" s="95"/>
      <c r="C26" s="94"/>
      <c r="D26" s="19"/>
    </row>
    <row r="28" spans="2:5" x14ac:dyDescent="0.2">
      <c r="B28" s="40" t="s">
        <v>134</v>
      </c>
      <c r="C28" s="86">
        <v>2.68</v>
      </c>
      <c r="D28" s="87" t="s">
        <v>135</v>
      </c>
      <c r="E28" s="40" t="s">
        <v>136</v>
      </c>
    </row>
    <row r="29" spans="2:5" x14ac:dyDescent="0.2">
      <c r="B29" s="40" t="s">
        <v>137</v>
      </c>
      <c r="C29" s="86">
        <v>2.2999999999999998</v>
      </c>
      <c r="D29" s="87" t="s">
        <v>138</v>
      </c>
      <c r="E29" s="40" t="s">
        <v>136</v>
      </c>
    </row>
    <row r="30" spans="2:5" x14ac:dyDescent="0.2">
      <c r="B30" s="40" t="s">
        <v>139</v>
      </c>
      <c r="C30" s="88">
        <v>0.125</v>
      </c>
      <c r="D30" s="87" t="s">
        <v>140</v>
      </c>
      <c r="E30" s="40" t="s">
        <v>141</v>
      </c>
    </row>
    <row r="31" spans="2:5" x14ac:dyDescent="0.2">
      <c r="B31" s="40" t="s">
        <v>142</v>
      </c>
      <c r="C31" s="88">
        <f>48*5-15</f>
        <v>225</v>
      </c>
      <c r="D31" s="87" t="s">
        <v>143</v>
      </c>
      <c r="E31" s="40"/>
    </row>
    <row r="32" spans="2:5" x14ac:dyDescent="0.2">
      <c r="B32" s="40" t="s">
        <v>144</v>
      </c>
      <c r="C32" s="86">
        <v>4.9700000000000001E-2</v>
      </c>
      <c r="D32" s="87" t="s">
        <v>145</v>
      </c>
      <c r="E32" s="40" t="s">
        <v>146</v>
      </c>
    </row>
    <row r="33" spans="2:5" x14ac:dyDescent="0.2">
      <c r="B33" s="40" t="s">
        <v>147</v>
      </c>
      <c r="C33" s="89">
        <f>emelectric*0.278</f>
        <v>3.4750000000000003E-2</v>
      </c>
      <c r="D33" s="87" t="s">
        <v>148</v>
      </c>
      <c r="E33" s="40" t="s">
        <v>146</v>
      </c>
    </row>
    <row r="36" spans="2:5" ht="15" x14ac:dyDescent="0.25">
      <c r="B36" s="90" t="s">
        <v>149</v>
      </c>
      <c r="C36" s="90"/>
      <c r="D36" s="90"/>
      <c r="E36" s="85"/>
    </row>
    <row r="37" spans="2:5" ht="15" x14ac:dyDescent="0.25">
      <c r="B37" s="90" t="s">
        <v>7</v>
      </c>
      <c r="C37" s="90">
        <v>49.7</v>
      </c>
      <c r="D37" s="90" t="s">
        <v>150</v>
      </c>
      <c r="E37" s="85"/>
    </row>
    <row r="38" spans="2:5" ht="15" x14ac:dyDescent="0.25">
      <c r="B38" s="90" t="s">
        <v>151</v>
      </c>
      <c r="C38" s="91">
        <f>C44/C58*1000</f>
        <v>67.532467532467535</v>
      </c>
      <c r="D38" s="90" t="s">
        <v>152</v>
      </c>
      <c r="E38" s="85"/>
    </row>
    <row r="39" spans="2:5" ht="15" x14ac:dyDescent="0.25">
      <c r="B39" s="90" t="s">
        <v>82</v>
      </c>
      <c r="C39" s="91">
        <f>C45/C59*1000</f>
        <v>67.647058823529406</v>
      </c>
      <c r="D39" s="90" t="s">
        <v>153</v>
      </c>
      <c r="E39" s="85"/>
    </row>
    <row r="40" spans="2:5" ht="15" x14ac:dyDescent="0.25">
      <c r="B40" s="90" t="s">
        <v>83</v>
      </c>
      <c r="C40" s="91">
        <f>C46/C60*1000</f>
        <v>69.610389610389603</v>
      </c>
      <c r="D40" s="90" t="s">
        <v>154</v>
      </c>
      <c r="E40" s="85"/>
    </row>
    <row r="41" spans="2:5" ht="15" x14ac:dyDescent="0.25">
      <c r="B41" s="92" t="s">
        <v>22</v>
      </c>
      <c r="C41" s="93">
        <v>49.7</v>
      </c>
      <c r="D41" s="92" t="s">
        <v>155</v>
      </c>
      <c r="E41" s="85"/>
    </row>
    <row r="42" spans="2:5" ht="15" x14ac:dyDescent="0.25">
      <c r="B42" s="90" t="s">
        <v>156</v>
      </c>
      <c r="C42" s="90"/>
      <c r="D42" s="90"/>
      <c r="E42" s="90"/>
    </row>
    <row r="43" spans="2:5" ht="15" x14ac:dyDescent="0.25">
      <c r="B43" s="90" t="s">
        <v>7</v>
      </c>
      <c r="C43" s="90">
        <v>1.879</v>
      </c>
      <c r="D43" s="90" t="s">
        <v>157</v>
      </c>
      <c r="E43" s="90" t="s">
        <v>158</v>
      </c>
    </row>
    <row r="44" spans="2:5" ht="15" x14ac:dyDescent="0.25">
      <c r="B44" s="90" t="s">
        <v>151</v>
      </c>
      <c r="C44" s="90">
        <v>2.6</v>
      </c>
      <c r="D44" s="90" t="s">
        <v>159</v>
      </c>
      <c r="E44" s="90" t="s">
        <v>160</v>
      </c>
    </row>
    <row r="45" spans="2:5" ht="15" x14ac:dyDescent="0.25">
      <c r="B45" s="90" t="s">
        <v>82</v>
      </c>
      <c r="C45" s="90">
        <v>2.2999999999999998</v>
      </c>
      <c r="D45" s="90" t="s">
        <v>161</v>
      </c>
      <c r="E45" s="90" t="s">
        <v>160</v>
      </c>
    </row>
    <row r="46" spans="2:5" ht="15" x14ac:dyDescent="0.25">
      <c r="B46" s="90" t="s">
        <v>83</v>
      </c>
      <c r="C46" s="90">
        <f>emdiesel</f>
        <v>2.68</v>
      </c>
      <c r="D46" s="90" t="s">
        <v>162</v>
      </c>
      <c r="E46" s="90" t="s">
        <v>160</v>
      </c>
    </row>
    <row r="47" spans="2:5" ht="15" x14ac:dyDescent="0.25">
      <c r="B47" s="90" t="s">
        <v>22</v>
      </c>
      <c r="C47" s="90">
        <v>1.51</v>
      </c>
      <c r="D47" s="90" t="s">
        <v>163</v>
      </c>
      <c r="E47" s="90" t="s">
        <v>160</v>
      </c>
    </row>
    <row r="49" spans="2:4" ht="15" x14ac:dyDescent="0.25">
      <c r="B49" s="85" t="s">
        <v>164</v>
      </c>
      <c r="C49" s="85"/>
      <c r="D49" s="85"/>
    </row>
    <row r="50" spans="2:4" ht="15" x14ac:dyDescent="0.25">
      <c r="B50" s="85" t="s">
        <v>7</v>
      </c>
      <c r="C50" s="85">
        <v>0.8</v>
      </c>
      <c r="D50" s="85" t="s">
        <v>158</v>
      </c>
    </row>
    <row r="51" spans="2:4" ht="15" x14ac:dyDescent="0.25">
      <c r="B51" s="85" t="s">
        <v>151</v>
      </c>
      <c r="C51" s="85">
        <v>0.86</v>
      </c>
      <c r="D51" s="85" t="s">
        <v>160</v>
      </c>
    </row>
    <row r="52" spans="2:4" ht="15" x14ac:dyDescent="0.25">
      <c r="B52" s="85" t="s">
        <v>82</v>
      </c>
      <c r="C52" s="85">
        <v>0.74</v>
      </c>
      <c r="D52" s="85" t="s">
        <v>160</v>
      </c>
    </row>
    <row r="53" spans="2:4" ht="15" x14ac:dyDescent="0.25">
      <c r="B53" s="85" t="s">
        <v>83</v>
      </c>
      <c r="C53" s="85">
        <v>0.875</v>
      </c>
      <c r="D53" s="85" t="s">
        <v>160</v>
      </c>
    </row>
    <row r="54" spans="2:4" ht="15" x14ac:dyDescent="0.25">
      <c r="B54" s="85" t="s">
        <v>22</v>
      </c>
      <c r="C54" s="85">
        <v>1.7</v>
      </c>
      <c r="D54" s="85" t="s">
        <v>158</v>
      </c>
    </row>
    <row r="55" spans="2:4" ht="15" x14ac:dyDescent="0.25">
      <c r="B55" s="85"/>
      <c r="C55" s="85"/>
      <c r="D55" s="85"/>
    </row>
    <row r="56" spans="2:4" ht="15" x14ac:dyDescent="0.25">
      <c r="B56" s="90" t="s">
        <v>165</v>
      </c>
      <c r="C56" s="90"/>
      <c r="D56" s="90"/>
    </row>
    <row r="57" spans="2:4" ht="15" x14ac:dyDescent="0.25">
      <c r="B57" s="90" t="s">
        <v>7</v>
      </c>
      <c r="C57" s="90">
        <v>40.6</v>
      </c>
      <c r="D57" s="327" t="s">
        <v>403</v>
      </c>
    </row>
    <row r="58" spans="2:4" ht="15" x14ac:dyDescent="0.25">
      <c r="B58" s="90" t="s">
        <v>151</v>
      </c>
      <c r="C58" s="90">
        <v>38.5</v>
      </c>
      <c r="D58" s="327" t="s">
        <v>402</v>
      </c>
    </row>
    <row r="59" spans="2:4" ht="15" x14ac:dyDescent="0.25">
      <c r="B59" s="90" t="s">
        <v>82</v>
      </c>
      <c r="C59" s="90">
        <v>34</v>
      </c>
      <c r="D59" s="327" t="s">
        <v>399</v>
      </c>
    </row>
    <row r="60" spans="2:4" ht="15" x14ac:dyDescent="0.25">
      <c r="B60" s="90" t="s">
        <v>83</v>
      </c>
      <c r="C60" s="90">
        <v>38.5</v>
      </c>
      <c r="D60" s="327" t="s">
        <v>400</v>
      </c>
    </row>
    <row r="61" spans="2:4" ht="15" x14ac:dyDescent="0.25">
      <c r="B61" s="90" t="s">
        <v>22</v>
      </c>
      <c r="C61" s="90">
        <v>25.5</v>
      </c>
      <c r="D61" s="327" t="s">
        <v>401</v>
      </c>
    </row>
  </sheetData>
  <sheetProtection algorithmName="SHA-512" hashValue="s0O85//Ukzzta4+5vVc68uYNpsIary2Gmn/uIZfg9Ys1KXWVpFMzhubUevDLcnhELaqU3G+qQfqGb2/PanYU5Q==" saltValue="De0+YmgMnQj+NlscZ5aEz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65</vt:i4>
      </vt:variant>
    </vt:vector>
  </HeadingPairs>
  <TitlesOfParts>
    <vt:vector size="73" baseType="lpstr">
      <vt:lpstr>The Low Carbon Scenario</vt:lpstr>
      <vt:lpstr> Calcs &amp; Detailed Results</vt:lpstr>
      <vt:lpstr>Stock projection</vt:lpstr>
      <vt:lpstr>Base case saved</vt:lpstr>
      <vt:lpstr>Buses</vt:lpstr>
      <vt:lpstr>Car stock</vt:lpstr>
      <vt:lpstr>Truck Stock</vt:lpstr>
      <vt:lpstr>Named Cells</vt:lpstr>
      <vt:lpstr>cargrowth</vt:lpstr>
      <vt:lpstr>dieselpriceperL</vt:lpstr>
      <vt:lpstr>diesmjpl</vt:lpstr>
      <vt:lpstr>diespj</vt:lpstr>
      <vt:lpstr>edieselplitre</vt:lpstr>
      <vt:lpstr>egasplitre</vt:lpstr>
      <vt:lpstr>elfopm3</vt:lpstr>
      <vt:lpstr>elp2gj</vt:lpstr>
      <vt:lpstr>emdiesel</vt:lpstr>
      <vt:lpstr>emelectric</vt:lpstr>
      <vt:lpstr>emelectricpermmj</vt:lpstr>
      <vt:lpstr>emgasoline</vt:lpstr>
      <vt:lpstr>emnatgaspmj</vt:lpstr>
      <vt:lpstr>engpm3</vt:lpstr>
      <vt:lpstr>eprice</vt:lpstr>
      <vt:lpstr>epropplitre</vt:lpstr>
      <vt:lpstr>evsales</vt:lpstr>
      <vt:lpstr>fdieselpriceperL</vt:lpstr>
      <vt:lpstr>feprice</vt:lpstr>
      <vt:lpstr>fgaspriceperL</vt:lpstr>
      <vt:lpstr>fltgrowth</vt:lpstr>
      <vt:lpstr>fltretire</vt:lpstr>
      <vt:lpstr>fopj</vt:lpstr>
      <vt:lpstr>gasef</vt:lpstr>
      <vt:lpstr>gasl2j</vt:lpstr>
      <vt:lpstr>gasmjpl</vt:lpstr>
      <vt:lpstr>gasolineprperL</vt:lpstr>
      <vt:lpstr>gaspj</vt:lpstr>
      <vt:lpstr>gaspm32gj</vt:lpstr>
      <vt:lpstr>gaspriceperL</vt:lpstr>
      <vt:lpstr>gfactorkwh</vt:lpstr>
      <vt:lpstr>ggfactorkwh</vt:lpstr>
      <vt:lpstr>ggridfactor</vt:lpstr>
      <vt:lpstr>gprice</vt:lpstr>
      <vt:lpstr>gridfactor</vt:lpstr>
      <vt:lpstr>htgrowth</vt:lpstr>
      <vt:lpstr>htretire</vt:lpstr>
      <vt:lpstr>jobmultiplier</vt:lpstr>
      <vt:lpstr>kg_Litre</vt:lpstr>
      <vt:lpstr>kg_m3</vt:lpstr>
      <vt:lpstr>MJ_m3</vt:lpstr>
      <vt:lpstr>mtgrowth</vt:lpstr>
      <vt:lpstr>mtretire</vt:lpstr>
      <vt:lpstr>ngmjpm3</vt:lpstr>
      <vt:lpstr>ngpj</vt:lpstr>
      <vt:lpstr>ngprice</vt:lpstr>
      <vt:lpstr>oilef</vt:lpstr>
      <vt:lpstr>oilmjpl</vt:lpstr>
      <vt:lpstr>oilp2gj</vt:lpstr>
      <vt:lpstr>oprice</vt:lpstr>
      <vt:lpstr>pltgrowth</vt:lpstr>
      <vt:lpstr>pltretire</vt:lpstr>
      <vt:lpstr>premiumdecline</vt:lpstr>
      <vt:lpstr>Buses!Print_Area</vt:lpstr>
      <vt:lpstr>'Car stock'!Print_Area</vt:lpstr>
      <vt:lpstr>'Truck Stock'!Print_Area</vt:lpstr>
      <vt:lpstr>propj</vt:lpstr>
      <vt:lpstr>propmjpl</vt:lpstr>
      <vt:lpstr>retirerate</vt:lpstr>
      <vt:lpstr>sm2sf</vt:lpstr>
      <vt:lpstr>suvpremiumdecline</vt:lpstr>
      <vt:lpstr>woodef</vt:lpstr>
      <vt:lpstr>woodp2gj</vt:lpstr>
      <vt:lpstr>workyear</vt:lpstr>
      <vt:lpstr>wprice</vt:lpstr>
    </vt:vector>
  </TitlesOfParts>
  <Company>NRCan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 Bernier</dc:creator>
  <cp:lastModifiedBy>NOTE</cp:lastModifiedBy>
  <cp:lastPrinted>2009-08-03T19:03:22Z</cp:lastPrinted>
  <dcterms:created xsi:type="dcterms:W3CDTF">2001-07-03T16:40:56Z</dcterms:created>
  <dcterms:modified xsi:type="dcterms:W3CDTF">2020-06-11T07:19:38Z</dcterms:modified>
</cp:coreProperties>
</file>